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5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<sst xmlns="http://schemas.openxmlformats.org/spreadsheetml/2006/main" count="277" uniqueCount="247">
  <si>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</si>
  <si>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</si>
  <si>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</si>
  <si>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</si>
  <si>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</si>
  <si>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</si>
  <si>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</si>
  <si>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</si>
  <si>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</si>
  <si>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1.22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</si>
  <si>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</si>
  <si>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</si>
  <si>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</si>
  <si>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</si>
  <si>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</si>
  <si>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</si>
  <si>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</si>
  <si>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</si>
  <si>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</si>
  <si>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</si>
  <si>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</si>
  <si>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</si>
  <si>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</si>
  <si>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</si>
  <si>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</si>
  <si>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</si>
  <si>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</si>
  <si>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</si>
  <si>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</si>
  <si>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</si>
  <si>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</si>
  <si>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</si>
  <si>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</si>
  <si>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</si>
  <si>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</si>
  <si>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</si>
  <si>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</si>
  <si>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</si>
  <si>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</si>
  <si>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</si>
  <si>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</si>
  <si>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</si>
  <si>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</si>
  <si>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</si>
  <si>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</si>
  <si>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</si>
  <si>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</si>
  <si>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</si>
  <si>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</si>
  <si>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</si>
  <si>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</si>
  <si>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</si>
  <si>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</si>
  <si>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</si>
  <si>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</si>
  <si>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</si>
  <si>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</si>
  <si>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</si>
  <si>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</si>
  <si>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</si>
  <si>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</si>
  <si>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</si>
  <si>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</si>
  <si>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</si>
  <si>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</si>
  <si>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</si>
  <si>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</si>
  <si>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</si>
  <si>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</si>
  <si>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</si>
  <si>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</si>
  <si>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</si>
  <si>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</si>
  <si>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</si>
  <si>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</si>
  <si>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</si>
  <si>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</si>
  <si>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</si>
  <si>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</si>
  <si>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</si>
  <si>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</si>
  <si>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</si>
  <si>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</si>
  <si>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</si>
  <si>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</si>
  <si>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</si>
  <si>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</si>
  <si>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</si>
  <si>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</si>
  <si>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</si>
  <si>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</si>
  <si>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</si>
  <si>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</si>
  <si>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</si>
  <si>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</si>
  <si>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</si>
  <si>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</si>
  <si>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</si>
  <si>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</si>
  <si>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</si>
  <si>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</si>
  <si>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</si>
  <si>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</si>
  <si>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</si>
  <si>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</si>
  <si>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</si>
  <si>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</si>
  <si>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</si>
  <si>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</si>
  <si>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</si>
  <si>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</si>
  <si>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</si>
  <si>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</si>
  <si>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</si>
  <si>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</si>
  <si>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</si>
  <si>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</si>
  <si>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</si>
  <si>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</si>
  <si>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</si>
  <si>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</si>
  <si>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</si>
  <si>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</si>
  <si>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</si>
  <si>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</si>
  <si>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</si>
  <si>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</si>
  <si>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</si>
  <si>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</si>
  <si>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</si>
  <si>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</si>
  <si>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</si>
  <si>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</si>
  <si>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</si>
  <si>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</si>
  <si>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</si>
  <si>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</si>
  <si>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</si>
  <si>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</si>
  <si>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</si>
  <si>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</si>
  <si>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</si>
  <si>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</si>
  <si>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</si>
  <si>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</si>
  <si>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</si>
  <si>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</si>
  <si>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</si>
  <si>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</si>
  <si>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</si>
  <si>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</si>
  <si>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</si>
  <si>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</si>
  <si>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</si>
  <si>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</si>
  <si>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</si>
  <si>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</si>
  <si>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</si>
  <si>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</si>
  <si>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</si>
  <si>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</si>
  <si>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</si>
  <si>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</si>
  <si>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</si>
  <si>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</si>
  <si>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</si>
  <si>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</si>
  <si>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</si>
  <si>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</si>
  <si>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</si>
  <si>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</si>
  <si>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</si>
  <si>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</si>
  <si>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</si>
  <si>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</si>
  <si>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</si>
  <si>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</si>
  <si>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</si>
  <si>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</si>
  <si>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</si>
  <si>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</si>
  <si>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</si>
  <si>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</si>
  <si>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</si>
  <si>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</si>
  <si>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</si>
  <si>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</si>
  <si>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</si>
  <si>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</si>
  <si>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</si>
  <si>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</si>
  <si>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</si>
  <si>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</si>
  <si>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</si>
  <si>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</si>
  <si>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</si>
  <si>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</si>
  <si>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</si>
  <si>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</si>
  <si>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</si>
  <si>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</si>
  <si>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</si>
  <si>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</si>
  <si>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</si>
  <si>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</si>
  <si>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</si>
  <si>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</si>
  <si>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</si>
  <si>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</si>
  <si>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</si>
  <si>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</si>
  <si>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</si>
  <si>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</si>
  <si>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 xml:space="preserve">в т.ч. водопостачання та водовідведення  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</si>
  <si>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</si>
  <si>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</si>
  <si>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</si>
  <si>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</si>
  <si>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</si>
  <si>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</si>
  <si>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</si>
  <si>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</si>
  <si>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</si>
  <si>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</si>
  <si>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</si>
  <si>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</si>
  <si>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</si>
  <si>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послуги аудиту (фінансова підтримка КП "Дирекція парків")</t>
  </si>
  <si>
    <t>Капітальний ремонт прибудинкової території житлового будинку №214 по вул.Благовісна</t>
  </si>
  <si>
    <t>Капітальний ремонт прибудинкової території житлового будинку №220 по вул.Благовісна</t>
  </si>
  <si>
    <t>Капітальний ремонт прибудинкової території житлового будинку №222 по вул.Благовісна</t>
  </si>
  <si>
    <t>Капітальний ремонт прибудинкової територій житлового будинку №341 по вул.Надпільна</t>
  </si>
  <si>
    <t xml:space="preserve">Капітальний ремонт прибудинкової територійжитлового будинку №43 по вул.Б.Хмельнцького </t>
  </si>
  <si>
    <t>Капітальний ремонт житлового будинку по вул.Різдвяна, 56 (ремонт покрівллі та перекриття 2-го поверху)</t>
  </si>
  <si>
    <t xml:space="preserve">Капітальний ремонт прибудинкової території житлового будинку №8/1 по вул. Нарбутівська </t>
  </si>
  <si>
    <t>Капітальний ремонт житлового будинку 7 по вул. Чорновола (система холодного та гарячого водопостачання та водовідведення)(з ПКД)</t>
  </si>
  <si>
    <t>Капітальний ремонт житлового будинку 9 по вул. Чорновола (система холодного та гарячого водопостачання та водовідведення)(з ПКД)</t>
  </si>
  <si>
    <t>1.43</t>
  </si>
  <si>
    <t>1.44</t>
  </si>
  <si>
    <t>Капітальний ремонт ганків під'їздів №1-8 житлового будинку по вул.Гуджіївській ,30</t>
  </si>
  <si>
    <t>Капітальний ремонт житлового будинку по вул. Різдвяній,54 (покрівля)(ПКД)</t>
  </si>
  <si>
    <t>ПІДТРИМКА ДІЯЛЬНОСТІ  РЕМОНТНО-БУДІВЕЛЬНИХ ОРГАНІЗАЦІЙ ЖИТЛОВО-КОМУНАЛЬНОГО ГОСПОДАРСТВА</t>
  </si>
  <si>
    <t>7.</t>
  </si>
  <si>
    <t>7.1</t>
  </si>
  <si>
    <t>Фінансова підтримка КП "ЧЕЛУАШ" на виконання рішень судів</t>
  </si>
  <si>
    <t>придбання  контейнерів для збору ТПВ(фінансова підтримка КП "Черкаська служба чистоти")</t>
  </si>
  <si>
    <t>Профінансовано на 13.12.2017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</si>
</sst>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3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6" fillId="3" borderId="0" applyNumberFormat="0" applyBorder="0" applyAlignment="0" applyProtection="0"/>
    <xf numFmtId="0" fontId="55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6" fillId="47" borderId="12" applyNumberFormat="0" applyAlignment="0" applyProtection="0"/>
    <xf numFmtId="0" fontId="18" fillId="0" borderId="13" applyNumberFormat="0" applyFill="0" applyAlignment="0" applyProtection="0"/>
    <xf numFmtId="0" fontId="57" fillId="51" borderId="0" applyNumberFormat="0" applyBorder="0" applyAlignment="0" applyProtection="0"/>
    <xf numFmtId="0" fontId="20" fillId="0" borderId="0">
      <alignment/>
      <protection/>
    </xf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/>
    </xf>
    <xf numFmtId="4" fontId="28" fillId="53" borderId="14" xfId="0" applyNumberFormat="1" applyFont="1" applyFill="1" applyBorder="1" applyAlignment="1">
      <alignment horizont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0" fillId="0" borderId="18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0" xfId="0" applyFont="1" applyAlignment="1">
      <alignment/>
    </xf>
    <xf numFmtId="0" fontId="26" fillId="0" borderId="14" xfId="0" applyFont="1" applyBorder="1" applyAlignment="1">
      <alignment horizontal="center" vertical="center"/>
    </xf>
    <xf numFmtId="49" fontId="31" fillId="0" borderId="19" xfId="0" applyNumberFormat="1" applyFont="1" applyFill="1" applyBorder="1" applyAlignment="1">
      <alignment horizontal="center" vertical="center" wrapText="1"/>
    </xf>
    <xf numFmtId="4" fontId="29" fillId="52" borderId="19" xfId="0" applyNumberFormat="1" applyFont="1" applyFill="1" applyBorder="1" applyAlignment="1">
      <alignment horizontal="center" vertical="center" wrapText="1"/>
    </xf>
    <xf numFmtId="0" fontId="32" fillId="52" borderId="19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9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9" xfId="0" applyFont="1" applyFill="1" applyBorder="1" applyAlignment="1">
      <alignment horizontal="center" vertical="center"/>
    </xf>
    <xf numFmtId="4" fontId="29" fillId="52" borderId="19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39" fillId="53" borderId="14" xfId="0" applyFont="1" applyFill="1" applyBorder="1" applyAlignment="1">
      <alignment horizontal="center"/>
    </xf>
    <xf numFmtId="0" fontId="39" fillId="53" borderId="15" xfId="0" applyFont="1" applyFill="1" applyBorder="1" applyAlignment="1">
      <alignment horizontal="center"/>
    </xf>
    <xf numFmtId="0" fontId="39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9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9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0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0" fillId="0" borderId="14" xfId="0" applyNumberFormat="1" applyFont="1" applyFill="1" applyBorder="1" applyAlignment="1">
      <alignment horizontal="center" vertical="center" wrapText="1"/>
    </xf>
    <xf numFmtId="192" fontId="40" fillId="0" borderId="14" xfId="0" applyNumberFormat="1" applyFont="1" applyFill="1" applyBorder="1" applyAlignment="1">
      <alignment horizontal="center" vertical="center" wrapText="1"/>
    </xf>
    <xf numFmtId="4" fontId="40" fillId="0" borderId="14" xfId="0" applyNumberFormat="1" applyFont="1" applyFill="1" applyBorder="1" applyAlignment="1">
      <alignment horizontal="center" vertical="center" wrapText="1"/>
    </xf>
    <xf numFmtId="191" fontId="40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39" fillId="53" borderId="14" xfId="0" applyNumberFormat="1" applyFont="1" applyFill="1" applyBorder="1" applyAlignment="1">
      <alignment horizontal="center" wrapText="1"/>
    </xf>
    <xf numFmtId="4" fontId="19" fillId="0" borderId="19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0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0" fillId="53" borderId="14" xfId="0" applyNumberFormat="1" applyFont="1" applyFill="1" applyBorder="1" applyAlignment="1">
      <alignment horizontal="center" vertical="center" wrapText="1"/>
    </xf>
    <xf numFmtId="4" fontId="40" fillId="53" borderId="14" xfId="0" applyNumberFormat="1" applyFont="1" applyFill="1" applyBorder="1" applyAlignment="1">
      <alignment horizontal="center" vertical="center" wrapText="1"/>
    </xf>
    <xf numFmtId="2" fontId="39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0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0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0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1" fillId="53" borderId="14" xfId="0" applyFont="1" applyFill="1" applyBorder="1" applyAlignment="1">
      <alignment horizontal="left" wrapText="1"/>
    </xf>
    <xf numFmtId="4" fontId="28" fillId="0" borderId="19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9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0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2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0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0" fillId="53" borderId="14" xfId="0" applyNumberFormat="1" applyFont="1" applyFill="1" applyBorder="1" applyAlignment="1">
      <alignment horizontal="center"/>
    </xf>
    <xf numFmtId="191" fontId="40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9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0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9" xfId="0" applyFont="1" applyBorder="1" applyAlignment="1">
      <alignment/>
    </xf>
    <xf numFmtId="0" fontId="28" fillId="0" borderId="19" xfId="0" applyFont="1" applyBorder="1" applyAlignment="1">
      <alignment horizontal="center"/>
    </xf>
    <xf numFmtId="186" fontId="39" fillId="0" borderId="19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0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0" fillId="52" borderId="14" xfId="0" applyNumberFormat="1" applyFont="1" applyFill="1" applyBorder="1" applyAlignment="1">
      <alignment horizontal="center" vertical="center" wrapText="1"/>
    </xf>
    <xf numFmtId="191" fontId="40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39" fillId="52" borderId="14" xfId="0" applyNumberFormat="1" applyFont="1" applyFill="1" applyBorder="1" applyAlignment="1">
      <alignment horizontal="center" wrapText="1"/>
    </xf>
    <xf numFmtId="2" fontId="19" fillId="52" borderId="19" xfId="0" applyNumberFormat="1" applyFont="1" applyFill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9" xfId="0" applyFont="1" applyBorder="1" applyAlignment="1">
      <alignment/>
    </xf>
    <xf numFmtId="4" fontId="28" fillId="53" borderId="19" xfId="0" applyNumberFormat="1" applyFont="1" applyFill="1" applyBorder="1" applyAlignment="1">
      <alignment horizontal="center" vertical="center"/>
    </xf>
    <xf numFmtId="0" fontId="19" fillId="55" borderId="14" xfId="113" applyFont="1" applyFill="1" applyBorder="1" applyAlignment="1">
      <alignment horizontal="left" wrapText="1"/>
      <protection/>
    </xf>
    <xf numFmtId="185" fontId="31" fillId="55" borderId="14" xfId="0" applyNumberFormat="1" applyFont="1" applyFill="1" applyBorder="1" applyAlignment="1">
      <alignment horizontal="center" vertical="center" wrapText="1"/>
    </xf>
    <xf numFmtId="191" fontId="40" fillId="55" borderId="14" xfId="0" applyNumberFormat="1" applyFont="1" applyFill="1" applyBorder="1" applyAlignment="1">
      <alignment horizontal="center" vertical="center" wrapText="1"/>
    </xf>
    <xf numFmtId="190" fontId="31" fillId="55" borderId="14" xfId="0" applyNumberFormat="1" applyFont="1" applyFill="1" applyBorder="1" applyAlignment="1">
      <alignment horizontal="center" vertical="center" wrapText="1"/>
    </xf>
    <xf numFmtId="192" fontId="40" fillId="55" borderId="14" xfId="0" applyNumberFormat="1" applyFont="1" applyFill="1" applyBorder="1" applyAlignment="1">
      <alignment horizontal="center" vertical="center" wrapText="1"/>
    </xf>
    <xf numFmtId="4" fontId="40" fillId="55" borderId="14" xfId="0" applyNumberFormat="1" applyFont="1" applyFill="1" applyBorder="1" applyAlignment="1">
      <alignment horizontal="center" vertical="center" wrapText="1"/>
    </xf>
    <xf numFmtId="191" fontId="40" fillId="55" borderId="14" xfId="0" applyNumberFormat="1" applyFont="1" applyFill="1" applyBorder="1" applyAlignment="1">
      <alignment horizontal="left" vertical="center" wrapText="1"/>
    </xf>
    <xf numFmtId="0" fontId="28" fillId="55" borderId="14" xfId="0" applyFont="1" applyFill="1" applyBorder="1" applyAlignment="1">
      <alignment/>
    </xf>
    <xf numFmtId="191" fontId="35" fillId="55" borderId="14" xfId="0" applyNumberFormat="1" applyFont="1" applyFill="1" applyBorder="1" applyAlignment="1">
      <alignment horizontal="center" vertical="center" wrapText="1"/>
    </xf>
    <xf numFmtId="186" fontId="28" fillId="55" borderId="14" xfId="0" applyNumberFormat="1" applyFont="1" applyFill="1" applyBorder="1" applyAlignment="1">
      <alignment horizontal="center" vertical="center"/>
    </xf>
    <xf numFmtId="4" fontId="28" fillId="55" borderId="14" xfId="0" applyNumberFormat="1" applyFont="1" applyFill="1" applyBorder="1" applyAlignment="1">
      <alignment horizontal="center" vertical="center"/>
    </xf>
    <xf numFmtId="2" fontId="39" fillId="55" borderId="14" xfId="0" applyNumberFormat="1" applyFont="1" applyFill="1" applyBorder="1" applyAlignment="1">
      <alignment horizontal="center" wrapText="1"/>
    </xf>
    <xf numFmtId="4" fontId="39" fillId="55" borderId="19" xfId="0" applyNumberFormat="1" applyFont="1" applyFill="1" applyBorder="1" applyAlignment="1">
      <alignment horizontal="center" vertical="center" wrapText="1"/>
    </xf>
    <xf numFmtId="4" fontId="39" fillId="55" borderId="19" xfId="0" applyNumberFormat="1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/>
    </xf>
    <xf numFmtId="2" fontId="39" fillId="55" borderId="19" xfId="0" applyNumberFormat="1" applyFont="1" applyFill="1" applyBorder="1" applyAlignment="1">
      <alignment horizontal="center"/>
    </xf>
    <xf numFmtId="186" fontId="39" fillId="55" borderId="14" xfId="0" applyNumberFormat="1" applyFont="1" applyFill="1" applyBorder="1" applyAlignment="1">
      <alignment horizontal="center"/>
    </xf>
    <xf numFmtId="186" fontId="39" fillId="56" borderId="14" xfId="0" applyNumberFormat="1" applyFont="1" applyFill="1" applyBorder="1" applyAlignment="1">
      <alignment horizontal="center"/>
    </xf>
    <xf numFmtId="0" fontId="26" fillId="0" borderId="14" xfId="111" applyFont="1" applyFill="1" applyBorder="1" applyAlignment="1">
      <alignment vertical="top" wrapText="1"/>
      <protection/>
    </xf>
    <xf numFmtId="0" fontId="39" fillId="0" borderId="19" xfId="0" applyFont="1" applyBorder="1" applyAlignment="1">
      <alignment horizontal="center" vertical="center"/>
    </xf>
    <xf numFmtId="4" fontId="26" fillId="56" borderId="14" xfId="112" applyNumberFormat="1" applyFont="1" applyFill="1" applyBorder="1" applyAlignment="1">
      <alignment horizontal="center" vertical="center"/>
      <protection/>
    </xf>
    <xf numFmtId="4" fontId="26" fillId="0" borderId="14" xfId="0" applyNumberFormat="1" applyFont="1" applyBorder="1" applyAlignment="1">
      <alignment horizontal="center" vertical="center"/>
    </xf>
    <xf numFmtId="0" fontId="26" fillId="53" borderId="14" xfId="0" applyFont="1" applyFill="1" applyBorder="1" applyAlignment="1">
      <alignment vertical="top" wrapText="1"/>
    </xf>
    <xf numFmtId="4" fontId="26" fillId="56" borderId="14" xfId="0" applyNumberFormat="1" applyFont="1" applyFill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/>
    </xf>
    <xf numFmtId="0" fontId="26" fillId="53" borderId="20" xfId="0" applyFont="1" applyFill="1" applyBorder="1" applyAlignment="1">
      <alignment vertical="top" wrapText="1"/>
    </xf>
    <xf numFmtId="49" fontId="26" fillId="53" borderId="17" xfId="0" applyNumberFormat="1" applyFont="1" applyFill="1" applyBorder="1" applyAlignment="1">
      <alignment vertical="top" wrapText="1"/>
    </xf>
    <xf numFmtId="191" fontId="26" fillId="0" borderId="14" xfId="0" applyNumberFormat="1" applyFont="1" applyBorder="1" applyAlignment="1">
      <alignment vertical="center"/>
    </xf>
    <xf numFmtId="191" fontId="26" fillId="0" borderId="14" xfId="0" applyNumberFormat="1" applyFont="1" applyBorder="1" applyAlignment="1">
      <alignment horizontal="center" vertical="center"/>
    </xf>
    <xf numFmtId="0" fontId="26" fillId="53" borderId="14" xfId="111" applyFont="1" applyFill="1" applyBorder="1" applyAlignment="1">
      <alignment vertical="top" wrapText="1"/>
      <protection/>
    </xf>
    <xf numFmtId="4" fontId="19" fillId="56" borderId="19" xfId="0" applyNumberFormat="1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/>
    </xf>
    <xf numFmtId="4" fontId="26" fillId="0" borderId="19" xfId="0" applyNumberFormat="1" applyFont="1" applyBorder="1" applyAlignment="1">
      <alignment horizontal="center" vertical="center"/>
    </xf>
    <xf numFmtId="0" fontId="19" fillId="53" borderId="17" xfId="0" applyFont="1" applyFill="1" applyBorder="1" applyAlignment="1">
      <alignment horizontal="center" wrapText="1"/>
    </xf>
    <xf numFmtId="0" fontId="19" fillId="53" borderId="19" xfId="0" applyFont="1" applyFill="1" applyBorder="1" applyAlignment="1">
      <alignment horizont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9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9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9"/>
  <sheetViews>
    <sheetView tabSelected="1" zoomScale="75" zoomScaleNormal="75" zoomScalePageLayoutView="0" workbookViewId="0" topLeftCell="D1">
      <pane ySplit="7" topLeftCell="A48" activePane="bottomLeft" state="frozen"/>
      <selection pane="topLeft" activeCell="B1" sqref="B1"/>
      <selection pane="bottomLeft" activeCell="AE46" sqref="AE46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68"/>
      <c r="AG2" s="6"/>
    </row>
    <row r="3" ht="12.75">
      <c r="AH3" s="26"/>
    </row>
    <row r="4" spans="2:34" ht="18.75">
      <c r="B4" s="261" t="s">
        <v>179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"/>
    </row>
    <row r="5" spans="1:35" ht="20.25" customHeight="1">
      <c r="A5" s="288" t="s">
        <v>102</v>
      </c>
      <c r="B5" s="218"/>
      <c r="C5" s="266" t="s">
        <v>103</v>
      </c>
      <c r="D5" s="200"/>
      <c r="E5" s="8" t="s">
        <v>104</v>
      </c>
      <c r="F5" s="8" t="s">
        <v>105</v>
      </c>
      <c r="G5" s="41" t="s">
        <v>106</v>
      </c>
      <c r="H5" s="8" t="s">
        <v>107</v>
      </c>
      <c r="I5" s="8" t="s">
        <v>34</v>
      </c>
      <c r="J5" s="262" t="s">
        <v>35</v>
      </c>
      <c r="K5" s="262" t="s">
        <v>36</v>
      </c>
      <c r="L5" s="262" t="s">
        <v>37</v>
      </c>
      <c r="M5" s="262" t="s">
        <v>38</v>
      </c>
      <c r="N5" s="264" t="s">
        <v>39</v>
      </c>
      <c r="O5" s="265"/>
      <c r="P5" s="266"/>
      <c r="Q5" s="290" t="s">
        <v>40</v>
      </c>
      <c r="R5" s="290" t="s">
        <v>41</v>
      </c>
      <c r="S5" s="292" t="s">
        <v>42</v>
      </c>
      <c r="T5" s="293"/>
      <c r="U5" s="219"/>
      <c r="V5" s="276" t="s">
        <v>43</v>
      </c>
      <c r="W5" s="276" t="s">
        <v>44</v>
      </c>
      <c r="X5" s="276" t="s">
        <v>45</v>
      </c>
      <c r="Y5" s="279" t="s">
        <v>46</v>
      </c>
      <c r="Z5" s="281" t="s">
        <v>47</v>
      </c>
      <c r="AA5" s="257" t="s">
        <v>48</v>
      </c>
      <c r="AB5" s="257" t="s">
        <v>49</v>
      </c>
      <c r="AC5" s="272" t="s">
        <v>50</v>
      </c>
      <c r="AD5" s="220"/>
      <c r="AE5" s="200"/>
      <c r="AF5" s="200"/>
      <c r="AG5" s="200"/>
      <c r="AH5" s="200"/>
      <c r="AI5" s="7" t="s">
        <v>51</v>
      </c>
    </row>
    <row r="6" spans="1:35" ht="15.75">
      <c r="A6" s="288"/>
      <c r="B6" s="262" t="s">
        <v>52</v>
      </c>
      <c r="C6" s="289"/>
      <c r="D6" s="262" t="s">
        <v>53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63"/>
      <c r="K6" s="263"/>
      <c r="L6" s="263"/>
      <c r="M6" s="263"/>
      <c r="N6" s="267"/>
      <c r="O6" s="268"/>
      <c r="P6" s="269"/>
      <c r="Q6" s="291"/>
      <c r="R6" s="291"/>
      <c r="S6" s="286" t="s">
        <v>88</v>
      </c>
      <c r="T6" s="287"/>
      <c r="U6" s="221"/>
      <c r="V6" s="277"/>
      <c r="W6" s="277"/>
      <c r="X6" s="277"/>
      <c r="Y6" s="280"/>
      <c r="Z6" s="282"/>
      <c r="AA6" s="258"/>
      <c r="AB6" s="258"/>
      <c r="AC6" s="273"/>
      <c r="AD6" s="259" t="s">
        <v>89</v>
      </c>
      <c r="AE6" s="259" t="s">
        <v>40</v>
      </c>
      <c r="AF6" s="259" t="s">
        <v>41</v>
      </c>
      <c r="AG6" s="50" t="s">
        <v>42</v>
      </c>
      <c r="AH6" s="257" t="s">
        <v>246</v>
      </c>
      <c r="AI6" s="259" t="s">
        <v>33</v>
      </c>
    </row>
    <row r="7" spans="1:35" ht="36.75" customHeight="1">
      <c r="A7" s="8">
        <v>1</v>
      </c>
      <c r="B7" s="263"/>
      <c r="C7" s="37">
        <v>1</v>
      </c>
      <c r="D7" s="263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38"/>
      <c r="AC7" s="39"/>
      <c r="AD7" s="260"/>
      <c r="AE7" s="260"/>
      <c r="AF7" s="260"/>
      <c r="AG7" s="37" t="s">
        <v>88</v>
      </c>
      <c r="AH7" s="258"/>
      <c r="AI7" s="260"/>
    </row>
    <row r="8" spans="1:35" ht="15.75" customHeight="1">
      <c r="A8" s="8"/>
      <c r="B8" s="53" t="s">
        <v>21</v>
      </c>
      <c r="C8" s="54"/>
      <c r="D8" s="55" t="s">
        <v>177</v>
      </c>
      <c r="E8" s="56"/>
      <c r="F8" s="56"/>
      <c r="G8" s="57"/>
      <c r="H8" s="56"/>
      <c r="I8" s="56"/>
      <c r="J8" s="58"/>
      <c r="K8" s="58"/>
      <c r="L8" s="58"/>
      <c r="M8" s="58"/>
      <c r="N8" s="58"/>
      <c r="O8" s="58"/>
      <c r="P8" s="58"/>
      <c r="Q8" s="59"/>
      <c r="R8" s="59"/>
      <c r="S8" s="60"/>
      <c r="T8" s="61"/>
      <c r="U8" s="61"/>
      <c r="V8" s="61"/>
      <c r="W8" s="61"/>
      <c r="X8" s="59"/>
      <c r="Y8" s="59"/>
      <c r="Z8" s="59"/>
      <c r="AA8" s="59"/>
      <c r="AB8" s="62"/>
      <c r="AC8" s="63"/>
      <c r="AD8" s="52">
        <f aca="true" t="shared" si="0" ref="AD8:AD44">AE8+AF8</f>
        <v>17279283.68</v>
      </c>
      <c r="AE8" s="64"/>
      <c r="AF8" s="65">
        <f>SUM(AF9:AF49)</f>
        <v>17279283.68</v>
      </c>
      <c r="AG8" s="65">
        <f>SUM(AG9:AG49)</f>
        <v>17279283.68</v>
      </c>
      <c r="AH8" s="65">
        <f>SUM(AH9:AH49)</f>
        <v>9649130.319999997</v>
      </c>
      <c r="AI8" s="17">
        <f aca="true" t="shared" si="1" ref="AI8:AI48">AH8/AF8*100</f>
        <v>55.84218940261068</v>
      </c>
    </row>
    <row r="9" spans="1:35" s="49" customFormat="1" ht="63">
      <c r="A9" s="41"/>
      <c r="B9" s="51" t="s">
        <v>137</v>
      </c>
      <c r="C9" s="42"/>
      <c r="D9" s="241" t="s">
        <v>178</v>
      </c>
      <c r="E9" s="10"/>
      <c r="F9" s="10"/>
      <c r="G9" s="10"/>
      <c r="H9" s="10"/>
      <c r="I9" s="10"/>
      <c r="J9" s="41"/>
      <c r="K9" s="41"/>
      <c r="L9" s="41"/>
      <c r="M9" s="41"/>
      <c r="N9" s="41"/>
      <c r="O9" s="41"/>
      <c r="P9" s="41"/>
      <c r="Q9" s="43"/>
      <c r="R9" s="43"/>
      <c r="S9" s="44"/>
      <c r="T9" s="45"/>
      <c r="U9" s="45"/>
      <c r="V9" s="45"/>
      <c r="W9" s="45"/>
      <c r="X9" s="43"/>
      <c r="Y9" s="43"/>
      <c r="Z9" s="46"/>
      <c r="AA9" s="46"/>
      <c r="AB9" s="47"/>
      <c r="AC9" s="48"/>
      <c r="AD9" s="115">
        <f t="shared" si="0"/>
        <v>7809864.48</v>
      </c>
      <c r="AE9" s="242"/>
      <c r="AF9" s="243">
        <v>7809864.48</v>
      </c>
      <c r="AG9" s="244">
        <f aca="true" t="shared" si="2" ref="AG9:AG49">AF9</f>
        <v>7809864.48</v>
      </c>
      <c r="AH9" s="244">
        <f>5147943.2+949278.8+13728+43692</f>
        <v>6154642</v>
      </c>
      <c r="AI9" s="117">
        <f t="shared" si="1"/>
        <v>78.80600253386214</v>
      </c>
    </row>
    <row r="10" spans="1:35" s="49" customFormat="1" ht="31.5">
      <c r="A10" s="41"/>
      <c r="B10" s="51"/>
      <c r="C10" s="42"/>
      <c r="D10" s="241" t="s">
        <v>228</v>
      </c>
      <c r="E10" s="10"/>
      <c r="F10" s="10"/>
      <c r="G10" s="10"/>
      <c r="H10" s="10"/>
      <c r="I10" s="10"/>
      <c r="J10" s="41"/>
      <c r="K10" s="41"/>
      <c r="L10" s="41"/>
      <c r="M10" s="41"/>
      <c r="N10" s="41"/>
      <c r="O10" s="41"/>
      <c r="P10" s="41"/>
      <c r="Q10" s="43"/>
      <c r="R10" s="43"/>
      <c r="S10" s="44"/>
      <c r="T10" s="45"/>
      <c r="U10" s="45"/>
      <c r="V10" s="45"/>
      <c r="W10" s="45"/>
      <c r="X10" s="43"/>
      <c r="Y10" s="43"/>
      <c r="Z10" s="46"/>
      <c r="AA10" s="46"/>
      <c r="AB10" s="47"/>
      <c r="AC10" s="48"/>
      <c r="AD10" s="115">
        <f>AF10</f>
        <v>137000</v>
      </c>
      <c r="AE10" s="242"/>
      <c r="AF10" s="243">
        <v>137000</v>
      </c>
      <c r="AG10" s="244">
        <f>AF10</f>
        <v>137000</v>
      </c>
      <c r="AH10" s="244"/>
      <c r="AI10" s="117">
        <f t="shared" si="1"/>
        <v>0</v>
      </c>
    </row>
    <row r="11" spans="1:35" s="49" customFormat="1" ht="31.5">
      <c r="A11" s="41"/>
      <c r="B11" s="51"/>
      <c r="C11" s="42"/>
      <c r="D11" s="241" t="s">
        <v>229</v>
      </c>
      <c r="E11" s="10"/>
      <c r="F11" s="10"/>
      <c r="G11" s="10"/>
      <c r="H11" s="10"/>
      <c r="I11" s="10"/>
      <c r="J11" s="41"/>
      <c r="K11" s="41"/>
      <c r="L11" s="41"/>
      <c r="M11" s="41"/>
      <c r="N11" s="41"/>
      <c r="O11" s="41"/>
      <c r="P11" s="41"/>
      <c r="Q11" s="43"/>
      <c r="R11" s="43"/>
      <c r="S11" s="44"/>
      <c r="T11" s="45"/>
      <c r="U11" s="45"/>
      <c r="V11" s="45"/>
      <c r="W11" s="45"/>
      <c r="X11" s="43"/>
      <c r="Y11" s="43"/>
      <c r="Z11" s="46"/>
      <c r="AA11" s="46"/>
      <c r="AB11" s="47"/>
      <c r="AC11" s="48"/>
      <c r="AD11" s="115">
        <f>AF11</f>
        <v>86000</v>
      </c>
      <c r="AE11" s="242"/>
      <c r="AF11" s="243">
        <v>86000</v>
      </c>
      <c r="AG11" s="244">
        <f>AF11</f>
        <v>86000</v>
      </c>
      <c r="AH11" s="244"/>
      <c r="AI11" s="117">
        <f t="shared" si="1"/>
        <v>0</v>
      </c>
    </row>
    <row r="12" spans="1:35" s="49" customFormat="1" ht="31.5">
      <c r="A12" s="41"/>
      <c r="B12" s="51"/>
      <c r="C12" s="42"/>
      <c r="D12" s="241" t="s">
        <v>230</v>
      </c>
      <c r="E12" s="10"/>
      <c r="F12" s="10"/>
      <c r="G12" s="10"/>
      <c r="H12" s="10"/>
      <c r="I12" s="10"/>
      <c r="J12" s="41"/>
      <c r="K12" s="41"/>
      <c r="L12" s="41"/>
      <c r="M12" s="41"/>
      <c r="N12" s="41"/>
      <c r="O12" s="41"/>
      <c r="P12" s="41"/>
      <c r="Q12" s="43"/>
      <c r="R12" s="43"/>
      <c r="S12" s="44"/>
      <c r="T12" s="45"/>
      <c r="U12" s="45"/>
      <c r="V12" s="45"/>
      <c r="W12" s="45"/>
      <c r="X12" s="43"/>
      <c r="Y12" s="43"/>
      <c r="Z12" s="46"/>
      <c r="AA12" s="46"/>
      <c r="AB12" s="47"/>
      <c r="AC12" s="48"/>
      <c r="AD12" s="115">
        <f>AF12</f>
        <v>123000</v>
      </c>
      <c r="AE12" s="242"/>
      <c r="AF12" s="243">
        <v>123000</v>
      </c>
      <c r="AG12" s="244">
        <f>AF12</f>
        <v>123000</v>
      </c>
      <c r="AH12" s="244"/>
      <c r="AI12" s="117">
        <f t="shared" si="1"/>
        <v>0</v>
      </c>
    </row>
    <row r="13" spans="1:35" s="49" customFormat="1" ht="31.5">
      <c r="A13" s="41"/>
      <c r="B13" s="51"/>
      <c r="C13" s="42"/>
      <c r="D13" s="241" t="s">
        <v>234</v>
      </c>
      <c r="E13" s="10"/>
      <c r="F13" s="10"/>
      <c r="G13" s="10"/>
      <c r="H13" s="10"/>
      <c r="I13" s="10"/>
      <c r="J13" s="41"/>
      <c r="K13" s="41"/>
      <c r="L13" s="41"/>
      <c r="M13" s="41"/>
      <c r="N13" s="41"/>
      <c r="O13" s="41"/>
      <c r="P13" s="41"/>
      <c r="Q13" s="43"/>
      <c r="R13" s="43"/>
      <c r="S13" s="44"/>
      <c r="T13" s="45"/>
      <c r="U13" s="45"/>
      <c r="V13" s="45"/>
      <c r="W13" s="45"/>
      <c r="X13" s="43"/>
      <c r="Y13" s="43"/>
      <c r="Z13" s="46"/>
      <c r="AA13" s="46"/>
      <c r="AB13" s="47"/>
      <c r="AC13" s="48"/>
      <c r="AD13" s="115">
        <f>AF13</f>
        <v>92000</v>
      </c>
      <c r="AE13" s="242"/>
      <c r="AF13" s="243">
        <v>92000</v>
      </c>
      <c r="AG13" s="244">
        <f>AF13</f>
        <v>92000</v>
      </c>
      <c r="AH13" s="244">
        <v>8290</v>
      </c>
      <c r="AI13" s="117">
        <f t="shared" si="1"/>
        <v>9.01086956521739</v>
      </c>
    </row>
    <row r="14" spans="1:35" s="49" customFormat="1" ht="31.5">
      <c r="A14" s="41"/>
      <c r="B14" s="51" t="s">
        <v>90</v>
      </c>
      <c r="C14" s="42"/>
      <c r="D14" s="245" t="s">
        <v>187</v>
      </c>
      <c r="E14" s="79"/>
      <c r="F14" s="79"/>
      <c r="G14" s="79"/>
      <c r="H14" s="79"/>
      <c r="I14" s="79"/>
      <c r="J14" s="80"/>
      <c r="K14" s="80"/>
      <c r="L14" s="80"/>
      <c r="M14" s="80"/>
      <c r="N14" s="80"/>
      <c r="O14" s="80"/>
      <c r="P14" s="80"/>
      <c r="Q14" s="81"/>
      <c r="R14" s="81"/>
      <c r="S14" s="82"/>
      <c r="T14" s="83"/>
      <c r="U14" s="83"/>
      <c r="V14" s="83"/>
      <c r="W14" s="83"/>
      <c r="X14" s="81"/>
      <c r="Y14" s="81"/>
      <c r="Z14" s="81"/>
      <c r="AA14" s="81"/>
      <c r="AB14" s="47"/>
      <c r="AC14" s="84"/>
      <c r="AD14" s="99">
        <f t="shared" si="0"/>
        <v>118683.8</v>
      </c>
      <c r="AE14" s="242"/>
      <c r="AF14" s="246">
        <v>118683.8</v>
      </c>
      <c r="AG14" s="244">
        <f t="shared" si="2"/>
        <v>118683.8</v>
      </c>
      <c r="AH14" s="247">
        <f>6999.8+48399</f>
        <v>55398.8</v>
      </c>
      <c r="AI14" s="117">
        <f t="shared" si="1"/>
        <v>46.677642610027654</v>
      </c>
    </row>
    <row r="15" spans="1:35" s="49" customFormat="1" ht="31.5">
      <c r="A15" s="41"/>
      <c r="B15" s="51" t="s">
        <v>91</v>
      </c>
      <c r="C15" s="42"/>
      <c r="D15" s="245" t="s">
        <v>188</v>
      </c>
      <c r="E15" s="79"/>
      <c r="F15" s="79"/>
      <c r="G15" s="79"/>
      <c r="H15" s="79"/>
      <c r="I15" s="79"/>
      <c r="J15" s="80"/>
      <c r="K15" s="80"/>
      <c r="L15" s="80"/>
      <c r="M15" s="80"/>
      <c r="N15" s="80"/>
      <c r="O15" s="80"/>
      <c r="P15" s="80"/>
      <c r="Q15" s="81"/>
      <c r="R15" s="81"/>
      <c r="S15" s="82"/>
      <c r="T15" s="83"/>
      <c r="U15" s="83"/>
      <c r="V15" s="83"/>
      <c r="W15" s="83"/>
      <c r="X15" s="81"/>
      <c r="Y15" s="81"/>
      <c r="Z15" s="81"/>
      <c r="AA15" s="81"/>
      <c r="AB15" s="47"/>
      <c r="AC15" s="84"/>
      <c r="AD15" s="99">
        <f t="shared" si="0"/>
        <v>72000</v>
      </c>
      <c r="AE15" s="242"/>
      <c r="AF15" s="246">
        <v>72000</v>
      </c>
      <c r="AG15" s="244">
        <f t="shared" si="2"/>
        <v>72000</v>
      </c>
      <c r="AH15" s="247">
        <f>5999.8+22572</f>
        <v>28571.8</v>
      </c>
      <c r="AI15" s="117">
        <f t="shared" si="1"/>
        <v>39.683055555555555</v>
      </c>
    </row>
    <row r="16" spans="1:35" s="49" customFormat="1" ht="31.5">
      <c r="A16" s="41"/>
      <c r="B16" s="51" t="s">
        <v>92</v>
      </c>
      <c r="C16" s="42"/>
      <c r="D16" s="245" t="s">
        <v>189</v>
      </c>
      <c r="E16" s="79"/>
      <c r="F16" s="79"/>
      <c r="G16" s="79"/>
      <c r="H16" s="79"/>
      <c r="I16" s="79"/>
      <c r="J16" s="80"/>
      <c r="K16" s="80"/>
      <c r="L16" s="80"/>
      <c r="M16" s="80"/>
      <c r="N16" s="80"/>
      <c r="O16" s="80"/>
      <c r="P16" s="80"/>
      <c r="Q16" s="81"/>
      <c r="R16" s="81"/>
      <c r="S16" s="82"/>
      <c r="T16" s="83"/>
      <c r="U16" s="83"/>
      <c r="V16" s="83"/>
      <c r="W16" s="83"/>
      <c r="X16" s="81"/>
      <c r="Y16" s="81"/>
      <c r="Z16" s="81"/>
      <c r="AA16" s="81"/>
      <c r="AB16" s="47"/>
      <c r="AC16" s="84"/>
      <c r="AD16" s="99">
        <f t="shared" si="0"/>
        <v>72000</v>
      </c>
      <c r="AE16" s="242"/>
      <c r="AF16" s="246">
        <v>72000</v>
      </c>
      <c r="AG16" s="244">
        <f t="shared" si="2"/>
        <v>72000</v>
      </c>
      <c r="AH16" s="247">
        <f>5999.8+22572</f>
        <v>28571.8</v>
      </c>
      <c r="AI16" s="117">
        <f t="shared" si="1"/>
        <v>39.683055555555555</v>
      </c>
    </row>
    <row r="17" spans="1:35" s="49" customFormat="1" ht="31.5">
      <c r="A17" s="41"/>
      <c r="B17" s="51" t="s">
        <v>93</v>
      </c>
      <c r="C17" s="42"/>
      <c r="D17" s="245" t="s">
        <v>190</v>
      </c>
      <c r="E17" s="79"/>
      <c r="F17" s="79"/>
      <c r="G17" s="79"/>
      <c r="H17" s="79"/>
      <c r="I17" s="79"/>
      <c r="J17" s="80"/>
      <c r="K17" s="80"/>
      <c r="L17" s="80"/>
      <c r="M17" s="80"/>
      <c r="N17" s="80"/>
      <c r="O17" s="80"/>
      <c r="P17" s="80"/>
      <c r="Q17" s="81"/>
      <c r="R17" s="81"/>
      <c r="S17" s="82"/>
      <c r="T17" s="83"/>
      <c r="U17" s="83"/>
      <c r="V17" s="83"/>
      <c r="W17" s="83"/>
      <c r="X17" s="81"/>
      <c r="Y17" s="81"/>
      <c r="Z17" s="81"/>
      <c r="AA17" s="81"/>
      <c r="AB17" s="47"/>
      <c r="AC17" s="84"/>
      <c r="AD17" s="99">
        <f t="shared" si="0"/>
        <v>114000</v>
      </c>
      <c r="AE17" s="242"/>
      <c r="AF17" s="246">
        <v>114000</v>
      </c>
      <c r="AG17" s="244">
        <f t="shared" si="2"/>
        <v>114000</v>
      </c>
      <c r="AH17" s="247">
        <f>7999.8+40380</f>
        <v>48379.8</v>
      </c>
      <c r="AI17" s="117">
        <f t="shared" si="1"/>
        <v>42.43842105263158</v>
      </c>
    </row>
    <row r="18" spans="1:35" s="49" customFormat="1" ht="31.5">
      <c r="A18" s="41"/>
      <c r="B18" s="51" t="s">
        <v>124</v>
      </c>
      <c r="C18" s="42"/>
      <c r="D18" s="245" t="s">
        <v>191</v>
      </c>
      <c r="E18" s="79"/>
      <c r="F18" s="79"/>
      <c r="G18" s="79"/>
      <c r="H18" s="79"/>
      <c r="I18" s="79"/>
      <c r="J18" s="80"/>
      <c r="K18" s="80"/>
      <c r="L18" s="80"/>
      <c r="M18" s="80"/>
      <c r="N18" s="80"/>
      <c r="O18" s="80"/>
      <c r="P18" s="80"/>
      <c r="Q18" s="81"/>
      <c r="R18" s="81"/>
      <c r="S18" s="82"/>
      <c r="T18" s="83"/>
      <c r="U18" s="83"/>
      <c r="V18" s="83"/>
      <c r="W18" s="83"/>
      <c r="X18" s="81"/>
      <c r="Y18" s="81"/>
      <c r="Z18" s="81"/>
      <c r="AA18" s="81"/>
      <c r="AB18" s="47"/>
      <c r="AC18" s="84"/>
      <c r="AD18" s="99">
        <f t="shared" si="0"/>
        <v>72000</v>
      </c>
      <c r="AE18" s="242"/>
      <c r="AF18" s="246">
        <v>72000</v>
      </c>
      <c r="AG18" s="244">
        <f t="shared" si="2"/>
        <v>72000</v>
      </c>
      <c r="AH18" s="247">
        <f>5999.8+31092</f>
        <v>37091.8</v>
      </c>
      <c r="AI18" s="117">
        <f t="shared" si="1"/>
        <v>51.5163888888889</v>
      </c>
    </row>
    <row r="19" spans="1:35" s="49" customFormat="1" ht="31.5">
      <c r="A19" s="41"/>
      <c r="B19" s="51" t="s">
        <v>128</v>
      </c>
      <c r="C19" s="42"/>
      <c r="D19" s="245" t="s">
        <v>192</v>
      </c>
      <c r="E19" s="79"/>
      <c r="F19" s="79"/>
      <c r="G19" s="79"/>
      <c r="H19" s="79"/>
      <c r="I19" s="79"/>
      <c r="J19" s="80"/>
      <c r="K19" s="80"/>
      <c r="L19" s="80"/>
      <c r="M19" s="80"/>
      <c r="N19" s="80"/>
      <c r="O19" s="80"/>
      <c r="P19" s="80"/>
      <c r="Q19" s="81"/>
      <c r="R19" s="81"/>
      <c r="S19" s="82"/>
      <c r="T19" s="83"/>
      <c r="U19" s="83"/>
      <c r="V19" s="83"/>
      <c r="W19" s="83"/>
      <c r="X19" s="81"/>
      <c r="Y19" s="81"/>
      <c r="Z19" s="81"/>
      <c r="AA19" s="81"/>
      <c r="AB19" s="47"/>
      <c r="AC19" s="84"/>
      <c r="AD19" s="99">
        <f t="shared" si="0"/>
        <v>72000</v>
      </c>
      <c r="AE19" s="242"/>
      <c r="AF19" s="246">
        <v>72000</v>
      </c>
      <c r="AG19" s="244">
        <f t="shared" si="2"/>
        <v>72000</v>
      </c>
      <c r="AH19" s="247">
        <f>5999.8+22572</f>
        <v>28571.8</v>
      </c>
      <c r="AI19" s="117">
        <f t="shared" si="1"/>
        <v>39.683055555555555</v>
      </c>
    </row>
    <row r="20" spans="1:35" s="49" customFormat="1" ht="31.5">
      <c r="A20" s="41"/>
      <c r="B20" s="51" t="s">
        <v>84</v>
      </c>
      <c r="C20" s="42"/>
      <c r="D20" s="245" t="s">
        <v>193</v>
      </c>
      <c r="E20" s="79"/>
      <c r="F20" s="79"/>
      <c r="G20" s="79"/>
      <c r="H20" s="79"/>
      <c r="I20" s="79"/>
      <c r="J20" s="80"/>
      <c r="K20" s="80"/>
      <c r="L20" s="80"/>
      <c r="M20" s="80"/>
      <c r="N20" s="80"/>
      <c r="O20" s="80"/>
      <c r="P20" s="80"/>
      <c r="Q20" s="81"/>
      <c r="R20" s="81"/>
      <c r="S20" s="82"/>
      <c r="T20" s="83"/>
      <c r="U20" s="83"/>
      <c r="V20" s="83"/>
      <c r="W20" s="83"/>
      <c r="X20" s="81"/>
      <c r="Y20" s="81"/>
      <c r="Z20" s="81"/>
      <c r="AA20" s="81"/>
      <c r="AB20" s="47"/>
      <c r="AC20" s="84"/>
      <c r="AD20" s="99">
        <f t="shared" si="0"/>
        <v>178379.4</v>
      </c>
      <c r="AE20" s="242"/>
      <c r="AF20" s="246">
        <v>178379.4</v>
      </c>
      <c r="AG20" s="244">
        <f t="shared" si="2"/>
        <v>178379.4</v>
      </c>
      <c r="AH20" s="247">
        <f>10499.8+75092</f>
        <v>85591.8</v>
      </c>
      <c r="AI20" s="117">
        <f t="shared" si="1"/>
        <v>47.98300700641442</v>
      </c>
    </row>
    <row r="21" spans="1:35" s="49" customFormat="1" ht="31.5">
      <c r="A21" s="41"/>
      <c r="B21" s="51" t="s">
        <v>143</v>
      </c>
      <c r="C21" s="42"/>
      <c r="D21" s="245" t="s">
        <v>194</v>
      </c>
      <c r="E21" s="79"/>
      <c r="F21" s="79"/>
      <c r="G21" s="79"/>
      <c r="H21" s="79"/>
      <c r="I21" s="79"/>
      <c r="J21" s="80"/>
      <c r="K21" s="80"/>
      <c r="L21" s="80"/>
      <c r="M21" s="80"/>
      <c r="N21" s="80"/>
      <c r="O21" s="80"/>
      <c r="P21" s="80"/>
      <c r="Q21" s="81"/>
      <c r="R21" s="81"/>
      <c r="S21" s="82"/>
      <c r="T21" s="83"/>
      <c r="U21" s="83"/>
      <c r="V21" s="83"/>
      <c r="W21" s="83"/>
      <c r="X21" s="81"/>
      <c r="Y21" s="81"/>
      <c r="Z21" s="81"/>
      <c r="AA21" s="81"/>
      <c r="AB21" s="47"/>
      <c r="AC21" s="84"/>
      <c r="AD21" s="99">
        <f t="shared" si="0"/>
        <v>118920</v>
      </c>
      <c r="AE21" s="242"/>
      <c r="AF21" s="246">
        <v>118920</v>
      </c>
      <c r="AG21" s="244">
        <f t="shared" si="2"/>
        <v>118920</v>
      </c>
      <c r="AH21" s="247">
        <f>7499.8+47475</f>
        <v>54974.8</v>
      </c>
      <c r="AI21" s="117">
        <f t="shared" si="1"/>
        <v>46.22838883282879</v>
      </c>
    </row>
    <row r="22" spans="1:35" s="49" customFormat="1" ht="31.5">
      <c r="A22" s="41"/>
      <c r="B22" s="51" t="s">
        <v>150</v>
      </c>
      <c r="C22" s="42"/>
      <c r="D22" s="245" t="s">
        <v>204</v>
      </c>
      <c r="E22" s="79"/>
      <c r="F22" s="79"/>
      <c r="G22" s="79"/>
      <c r="H22" s="79"/>
      <c r="I22" s="79"/>
      <c r="J22" s="80"/>
      <c r="K22" s="80"/>
      <c r="L22" s="80"/>
      <c r="M22" s="80"/>
      <c r="N22" s="80"/>
      <c r="O22" s="80"/>
      <c r="P22" s="80"/>
      <c r="Q22" s="81"/>
      <c r="R22" s="81"/>
      <c r="S22" s="82"/>
      <c r="T22" s="83"/>
      <c r="U22" s="83"/>
      <c r="V22" s="83"/>
      <c r="W22" s="83"/>
      <c r="X22" s="81"/>
      <c r="Y22" s="81"/>
      <c r="Z22" s="81"/>
      <c r="AA22" s="81"/>
      <c r="AB22" s="47"/>
      <c r="AC22" s="84"/>
      <c r="AD22" s="99">
        <f t="shared" si="0"/>
        <v>45986.4</v>
      </c>
      <c r="AE22" s="242"/>
      <c r="AF22" s="246">
        <v>45986.4</v>
      </c>
      <c r="AG22" s="244">
        <f t="shared" si="2"/>
        <v>45986.4</v>
      </c>
      <c r="AH22" s="247">
        <f>3999.8+17354</f>
        <v>21353.8</v>
      </c>
      <c r="AI22" s="117">
        <f t="shared" si="1"/>
        <v>46.43503296626829</v>
      </c>
    </row>
    <row r="23" spans="1:35" s="49" customFormat="1" ht="31.5">
      <c r="A23" s="41"/>
      <c r="B23" s="51" t="s">
        <v>154</v>
      </c>
      <c r="C23" s="42"/>
      <c r="D23" s="245" t="s">
        <v>195</v>
      </c>
      <c r="E23" s="79"/>
      <c r="F23" s="79"/>
      <c r="G23" s="79"/>
      <c r="H23" s="79"/>
      <c r="I23" s="79"/>
      <c r="J23" s="80"/>
      <c r="K23" s="80"/>
      <c r="L23" s="80"/>
      <c r="M23" s="80"/>
      <c r="N23" s="80"/>
      <c r="O23" s="80"/>
      <c r="P23" s="80"/>
      <c r="Q23" s="81"/>
      <c r="R23" s="81"/>
      <c r="S23" s="82"/>
      <c r="T23" s="83"/>
      <c r="U23" s="83"/>
      <c r="V23" s="83"/>
      <c r="W23" s="83"/>
      <c r="X23" s="81"/>
      <c r="Y23" s="81"/>
      <c r="Z23" s="81"/>
      <c r="AA23" s="81"/>
      <c r="AB23" s="47"/>
      <c r="AC23" s="84"/>
      <c r="AD23" s="99">
        <f t="shared" si="0"/>
        <v>72000</v>
      </c>
      <c r="AE23" s="242"/>
      <c r="AF23" s="246">
        <v>72000</v>
      </c>
      <c r="AG23" s="244">
        <f t="shared" si="2"/>
        <v>72000</v>
      </c>
      <c r="AH23" s="247">
        <f>5999.8+22572</f>
        <v>28571.8</v>
      </c>
      <c r="AI23" s="117">
        <f t="shared" si="1"/>
        <v>39.683055555555555</v>
      </c>
    </row>
    <row r="24" spans="1:35" s="49" customFormat="1" ht="31.5">
      <c r="A24" s="41"/>
      <c r="B24" s="51" t="s">
        <v>0</v>
      </c>
      <c r="C24" s="42"/>
      <c r="D24" s="245" t="s">
        <v>196</v>
      </c>
      <c r="E24" s="79"/>
      <c r="F24" s="79"/>
      <c r="G24" s="79"/>
      <c r="H24" s="79"/>
      <c r="I24" s="79"/>
      <c r="J24" s="80"/>
      <c r="K24" s="80"/>
      <c r="L24" s="80"/>
      <c r="M24" s="80"/>
      <c r="N24" s="80"/>
      <c r="O24" s="80"/>
      <c r="P24" s="80"/>
      <c r="Q24" s="81"/>
      <c r="R24" s="81"/>
      <c r="S24" s="82"/>
      <c r="T24" s="83"/>
      <c r="U24" s="83"/>
      <c r="V24" s="83"/>
      <c r="W24" s="83"/>
      <c r="X24" s="81"/>
      <c r="Y24" s="81"/>
      <c r="Z24" s="81"/>
      <c r="AA24" s="81"/>
      <c r="AB24" s="47"/>
      <c r="AC24" s="84"/>
      <c r="AD24" s="99">
        <f t="shared" si="0"/>
        <v>72000</v>
      </c>
      <c r="AE24" s="242"/>
      <c r="AF24" s="246">
        <v>72000</v>
      </c>
      <c r="AG24" s="244">
        <f t="shared" si="2"/>
        <v>72000</v>
      </c>
      <c r="AH24" s="247">
        <f>5999.8+22572</f>
        <v>28571.8</v>
      </c>
      <c r="AI24" s="117">
        <f t="shared" si="1"/>
        <v>39.683055555555555</v>
      </c>
    </row>
    <row r="25" spans="1:35" s="49" customFormat="1" ht="31.5">
      <c r="A25" s="41"/>
      <c r="B25" s="51" t="s">
        <v>1</v>
      </c>
      <c r="C25" s="42"/>
      <c r="D25" s="248" t="s">
        <v>205</v>
      </c>
      <c r="E25" s="79"/>
      <c r="F25" s="79"/>
      <c r="G25" s="79"/>
      <c r="H25" s="79"/>
      <c r="I25" s="79"/>
      <c r="J25" s="80"/>
      <c r="K25" s="80"/>
      <c r="L25" s="80"/>
      <c r="M25" s="80"/>
      <c r="N25" s="80"/>
      <c r="O25" s="80"/>
      <c r="P25" s="80"/>
      <c r="Q25" s="81"/>
      <c r="R25" s="81"/>
      <c r="S25" s="82"/>
      <c r="T25" s="83"/>
      <c r="U25" s="83"/>
      <c r="V25" s="83"/>
      <c r="W25" s="83"/>
      <c r="X25" s="81"/>
      <c r="Y25" s="81"/>
      <c r="Z25" s="81"/>
      <c r="AA25" s="81"/>
      <c r="AB25" s="47"/>
      <c r="AC25" s="84"/>
      <c r="AD25" s="99">
        <f t="shared" si="0"/>
        <v>132857.8</v>
      </c>
      <c r="AE25" s="242"/>
      <c r="AF25" s="246">
        <v>132857.8</v>
      </c>
      <c r="AG25" s="244">
        <f t="shared" si="2"/>
        <v>132857.8</v>
      </c>
      <c r="AH25" s="247">
        <f>7999.8+50602</f>
        <v>58601.8</v>
      </c>
      <c r="AI25" s="117">
        <f t="shared" si="1"/>
        <v>44.1086635485459</v>
      </c>
    </row>
    <row r="26" spans="1:35" s="49" customFormat="1" ht="31.5">
      <c r="A26" s="41"/>
      <c r="B26" s="51" t="s">
        <v>2</v>
      </c>
      <c r="C26" s="42"/>
      <c r="D26" s="248" t="s">
        <v>206</v>
      </c>
      <c r="E26" s="79"/>
      <c r="F26" s="79"/>
      <c r="G26" s="79"/>
      <c r="H26" s="79"/>
      <c r="I26" s="79"/>
      <c r="J26" s="80"/>
      <c r="K26" s="80"/>
      <c r="L26" s="80"/>
      <c r="M26" s="80"/>
      <c r="N26" s="80"/>
      <c r="O26" s="80"/>
      <c r="P26" s="80"/>
      <c r="Q26" s="81"/>
      <c r="R26" s="81"/>
      <c r="S26" s="82"/>
      <c r="T26" s="83"/>
      <c r="U26" s="83"/>
      <c r="V26" s="83"/>
      <c r="W26" s="83"/>
      <c r="X26" s="81"/>
      <c r="Y26" s="81"/>
      <c r="Z26" s="81"/>
      <c r="AA26" s="81"/>
      <c r="AB26" s="47"/>
      <c r="AC26" s="84"/>
      <c r="AD26" s="99">
        <f t="shared" si="0"/>
        <v>238000</v>
      </c>
      <c r="AE26" s="242"/>
      <c r="AF26" s="246">
        <v>238000</v>
      </c>
      <c r="AG26" s="244">
        <f t="shared" si="2"/>
        <v>238000</v>
      </c>
      <c r="AH26" s="247">
        <v>6699.6</v>
      </c>
      <c r="AI26" s="117">
        <f t="shared" si="1"/>
        <v>2.814957983193277</v>
      </c>
    </row>
    <row r="27" spans="1:35" s="49" customFormat="1" ht="31.5">
      <c r="A27" s="41"/>
      <c r="B27" s="51" t="s">
        <v>3</v>
      </c>
      <c r="C27" s="42"/>
      <c r="D27" s="248" t="s">
        <v>207</v>
      </c>
      <c r="E27" s="79"/>
      <c r="F27" s="79"/>
      <c r="G27" s="79"/>
      <c r="H27" s="79"/>
      <c r="I27" s="79"/>
      <c r="J27" s="80"/>
      <c r="K27" s="80"/>
      <c r="L27" s="80"/>
      <c r="M27" s="80"/>
      <c r="N27" s="80"/>
      <c r="O27" s="80"/>
      <c r="P27" s="80"/>
      <c r="Q27" s="81"/>
      <c r="R27" s="81"/>
      <c r="S27" s="82"/>
      <c r="T27" s="83"/>
      <c r="U27" s="83"/>
      <c r="V27" s="83"/>
      <c r="W27" s="83"/>
      <c r="X27" s="81"/>
      <c r="Y27" s="81"/>
      <c r="Z27" s="81"/>
      <c r="AA27" s="81"/>
      <c r="AB27" s="47"/>
      <c r="AC27" s="84"/>
      <c r="AD27" s="99">
        <f t="shared" si="0"/>
        <v>238000</v>
      </c>
      <c r="AE27" s="242"/>
      <c r="AF27" s="246">
        <v>238000</v>
      </c>
      <c r="AG27" s="244">
        <f t="shared" si="2"/>
        <v>238000</v>
      </c>
      <c r="AH27" s="247">
        <v>6699.6</v>
      </c>
      <c r="AI27" s="117">
        <f t="shared" si="1"/>
        <v>2.814957983193277</v>
      </c>
    </row>
    <row r="28" spans="1:35" s="49" customFormat="1" ht="31.5">
      <c r="A28" s="41"/>
      <c r="B28" s="51" t="s">
        <v>4</v>
      </c>
      <c r="C28" s="42"/>
      <c r="D28" s="248" t="s">
        <v>208</v>
      </c>
      <c r="E28" s="79"/>
      <c r="F28" s="79"/>
      <c r="G28" s="79"/>
      <c r="H28" s="79"/>
      <c r="I28" s="79"/>
      <c r="J28" s="80"/>
      <c r="K28" s="80"/>
      <c r="L28" s="80"/>
      <c r="M28" s="80"/>
      <c r="N28" s="80"/>
      <c r="O28" s="80"/>
      <c r="P28" s="80"/>
      <c r="Q28" s="81"/>
      <c r="R28" s="81"/>
      <c r="S28" s="82"/>
      <c r="T28" s="83"/>
      <c r="U28" s="83"/>
      <c r="V28" s="83"/>
      <c r="W28" s="83"/>
      <c r="X28" s="81"/>
      <c r="Y28" s="81"/>
      <c r="Z28" s="81"/>
      <c r="AA28" s="81"/>
      <c r="AB28" s="47"/>
      <c r="AC28" s="84"/>
      <c r="AD28" s="99">
        <f t="shared" si="0"/>
        <v>216000</v>
      </c>
      <c r="AE28" s="242"/>
      <c r="AF28" s="246">
        <v>216000</v>
      </c>
      <c r="AG28" s="244">
        <f t="shared" si="2"/>
        <v>216000</v>
      </c>
      <c r="AH28" s="247">
        <v>147816.96</v>
      </c>
      <c r="AI28" s="117">
        <f t="shared" si="1"/>
        <v>68.43377777777778</v>
      </c>
    </row>
    <row r="29" spans="1:35" s="49" customFormat="1" ht="31.5">
      <c r="A29" s="41"/>
      <c r="B29" s="51" t="s">
        <v>5</v>
      </c>
      <c r="C29" s="42"/>
      <c r="D29" s="248" t="s">
        <v>209</v>
      </c>
      <c r="E29" s="79"/>
      <c r="F29" s="79"/>
      <c r="G29" s="79"/>
      <c r="H29" s="79"/>
      <c r="I29" s="79"/>
      <c r="J29" s="80"/>
      <c r="K29" s="80"/>
      <c r="L29" s="80"/>
      <c r="M29" s="80"/>
      <c r="N29" s="80"/>
      <c r="O29" s="80"/>
      <c r="P29" s="80"/>
      <c r="Q29" s="81"/>
      <c r="R29" s="81"/>
      <c r="S29" s="82"/>
      <c r="T29" s="83"/>
      <c r="U29" s="83"/>
      <c r="V29" s="83"/>
      <c r="W29" s="83"/>
      <c r="X29" s="81"/>
      <c r="Y29" s="81"/>
      <c r="Z29" s="81"/>
      <c r="AA29" s="81"/>
      <c r="AB29" s="47"/>
      <c r="AC29" s="84"/>
      <c r="AD29" s="99">
        <f t="shared" si="0"/>
        <v>216000</v>
      </c>
      <c r="AE29" s="242"/>
      <c r="AF29" s="246">
        <v>216000</v>
      </c>
      <c r="AG29" s="244">
        <f t="shared" si="2"/>
        <v>216000</v>
      </c>
      <c r="AH29" s="247">
        <v>147816.96</v>
      </c>
      <c r="AI29" s="117">
        <f t="shared" si="1"/>
        <v>68.43377777777778</v>
      </c>
    </row>
    <row r="30" spans="1:35" s="49" customFormat="1" ht="31.5">
      <c r="A30" s="41"/>
      <c r="B30" s="51" t="s">
        <v>6</v>
      </c>
      <c r="C30" s="42"/>
      <c r="D30" s="248" t="s">
        <v>210</v>
      </c>
      <c r="E30" s="79"/>
      <c r="F30" s="79"/>
      <c r="G30" s="79"/>
      <c r="H30" s="79"/>
      <c r="I30" s="79"/>
      <c r="J30" s="80"/>
      <c r="K30" s="80"/>
      <c r="L30" s="80"/>
      <c r="M30" s="80"/>
      <c r="N30" s="80"/>
      <c r="O30" s="80"/>
      <c r="P30" s="80"/>
      <c r="Q30" s="81"/>
      <c r="R30" s="81"/>
      <c r="S30" s="82"/>
      <c r="T30" s="83"/>
      <c r="U30" s="83"/>
      <c r="V30" s="83"/>
      <c r="W30" s="83"/>
      <c r="X30" s="81"/>
      <c r="Y30" s="81"/>
      <c r="Z30" s="81"/>
      <c r="AA30" s="81"/>
      <c r="AB30" s="47"/>
      <c r="AC30" s="84"/>
      <c r="AD30" s="99">
        <f t="shared" si="0"/>
        <v>213000</v>
      </c>
      <c r="AE30" s="242"/>
      <c r="AF30" s="246">
        <v>213000</v>
      </c>
      <c r="AG30" s="244">
        <f t="shared" si="2"/>
        <v>213000</v>
      </c>
      <c r="AH30" s="247">
        <v>145176.56</v>
      </c>
      <c r="AI30" s="117">
        <f t="shared" si="1"/>
        <v>68.15800938967136</v>
      </c>
    </row>
    <row r="31" spans="1:35" s="49" customFormat="1" ht="31.5">
      <c r="A31" s="41"/>
      <c r="B31" s="51" t="s">
        <v>7</v>
      </c>
      <c r="C31" s="42"/>
      <c r="D31" s="248" t="s">
        <v>211</v>
      </c>
      <c r="E31" s="79"/>
      <c r="F31" s="79"/>
      <c r="G31" s="79"/>
      <c r="H31" s="79"/>
      <c r="I31" s="79"/>
      <c r="J31" s="80"/>
      <c r="K31" s="80"/>
      <c r="L31" s="80"/>
      <c r="M31" s="80"/>
      <c r="N31" s="80"/>
      <c r="O31" s="80"/>
      <c r="P31" s="80"/>
      <c r="Q31" s="81"/>
      <c r="R31" s="81"/>
      <c r="S31" s="82"/>
      <c r="T31" s="83"/>
      <c r="U31" s="83"/>
      <c r="V31" s="83"/>
      <c r="W31" s="83"/>
      <c r="X31" s="81"/>
      <c r="Y31" s="81"/>
      <c r="Z31" s="81"/>
      <c r="AA31" s="81"/>
      <c r="AB31" s="47"/>
      <c r="AC31" s="84"/>
      <c r="AD31" s="99">
        <f t="shared" si="0"/>
        <v>352000</v>
      </c>
      <c r="AE31" s="242"/>
      <c r="AF31" s="246">
        <v>352000</v>
      </c>
      <c r="AG31" s="244">
        <f t="shared" si="2"/>
        <v>352000</v>
      </c>
      <c r="AH31" s="247">
        <v>241526.76</v>
      </c>
      <c r="AI31" s="117">
        <f t="shared" si="1"/>
        <v>68.61555681818182</v>
      </c>
    </row>
    <row r="32" spans="1:35" s="49" customFormat="1" ht="31.5">
      <c r="A32" s="41"/>
      <c r="B32" s="51" t="s">
        <v>8</v>
      </c>
      <c r="C32" s="42"/>
      <c r="D32" s="248" t="s">
        <v>212</v>
      </c>
      <c r="E32" s="79"/>
      <c r="F32" s="79"/>
      <c r="G32" s="79"/>
      <c r="H32" s="79"/>
      <c r="I32" s="79"/>
      <c r="J32" s="80"/>
      <c r="K32" s="80"/>
      <c r="L32" s="80"/>
      <c r="M32" s="80"/>
      <c r="N32" s="80"/>
      <c r="O32" s="80"/>
      <c r="P32" s="80"/>
      <c r="Q32" s="81"/>
      <c r="R32" s="81"/>
      <c r="S32" s="82"/>
      <c r="T32" s="83"/>
      <c r="U32" s="83"/>
      <c r="V32" s="83"/>
      <c r="W32" s="83"/>
      <c r="X32" s="81"/>
      <c r="Y32" s="81"/>
      <c r="Z32" s="81"/>
      <c r="AA32" s="81"/>
      <c r="AB32" s="47"/>
      <c r="AC32" s="84"/>
      <c r="AD32" s="99">
        <f t="shared" si="0"/>
        <v>121000</v>
      </c>
      <c r="AE32" s="242"/>
      <c r="AF32" s="246">
        <v>121000</v>
      </c>
      <c r="AG32" s="244">
        <f t="shared" si="2"/>
        <v>121000</v>
      </c>
      <c r="AH32" s="247">
        <v>83493.72</v>
      </c>
      <c r="AI32" s="117">
        <f t="shared" si="1"/>
        <v>69.00307438016529</v>
      </c>
    </row>
    <row r="33" spans="1:35" s="49" customFormat="1" ht="31.5">
      <c r="A33" s="41"/>
      <c r="B33" s="51"/>
      <c r="C33" s="42"/>
      <c r="D33" s="249" t="s">
        <v>231</v>
      </c>
      <c r="E33" s="79"/>
      <c r="F33" s="79"/>
      <c r="G33" s="79"/>
      <c r="H33" s="79"/>
      <c r="I33" s="79"/>
      <c r="J33" s="80"/>
      <c r="K33" s="80"/>
      <c r="L33" s="80"/>
      <c r="M33" s="80"/>
      <c r="N33" s="80"/>
      <c r="O33" s="80"/>
      <c r="P33" s="80"/>
      <c r="Q33" s="81"/>
      <c r="R33" s="81"/>
      <c r="S33" s="82"/>
      <c r="T33" s="83"/>
      <c r="U33" s="83"/>
      <c r="V33" s="83"/>
      <c r="W33" s="83"/>
      <c r="X33" s="81"/>
      <c r="Y33" s="81"/>
      <c r="Z33" s="81"/>
      <c r="AA33" s="81"/>
      <c r="AB33" s="47"/>
      <c r="AC33" s="84"/>
      <c r="AD33" s="99">
        <f t="shared" si="0"/>
        <v>92000</v>
      </c>
      <c r="AE33" s="242"/>
      <c r="AF33" s="246">
        <v>92000</v>
      </c>
      <c r="AG33" s="244">
        <f t="shared" si="2"/>
        <v>92000</v>
      </c>
      <c r="AH33" s="247">
        <v>7186</v>
      </c>
      <c r="AI33" s="117">
        <f t="shared" si="1"/>
        <v>7.810869565217391</v>
      </c>
    </row>
    <row r="34" spans="1:35" s="49" customFormat="1" ht="31.5">
      <c r="A34" s="41"/>
      <c r="B34" s="51"/>
      <c r="C34" s="42"/>
      <c r="D34" s="249" t="s">
        <v>232</v>
      </c>
      <c r="E34" s="79"/>
      <c r="F34" s="79"/>
      <c r="G34" s="79"/>
      <c r="H34" s="79"/>
      <c r="I34" s="79"/>
      <c r="J34" s="80"/>
      <c r="K34" s="80"/>
      <c r="L34" s="80"/>
      <c r="M34" s="80"/>
      <c r="N34" s="80"/>
      <c r="O34" s="80"/>
      <c r="P34" s="80"/>
      <c r="Q34" s="81"/>
      <c r="R34" s="81"/>
      <c r="S34" s="82"/>
      <c r="T34" s="83"/>
      <c r="U34" s="83"/>
      <c r="V34" s="83"/>
      <c r="W34" s="83"/>
      <c r="X34" s="81"/>
      <c r="Y34" s="81"/>
      <c r="Z34" s="81"/>
      <c r="AA34" s="81"/>
      <c r="AB34" s="47"/>
      <c r="AC34" s="84"/>
      <c r="AD34" s="99">
        <f t="shared" si="0"/>
        <v>112000</v>
      </c>
      <c r="AE34" s="242"/>
      <c r="AF34" s="246">
        <v>112000</v>
      </c>
      <c r="AG34" s="244">
        <f t="shared" si="2"/>
        <v>112000</v>
      </c>
      <c r="AH34" s="247">
        <v>9603</v>
      </c>
      <c r="AI34" s="117">
        <f t="shared" si="1"/>
        <v>8.574107142857143</v>
      </c>
    </row>
    <row r="35" spans="1:35" s="49" customFormat="1" ht="31.5">
      <c r="A35" s="41"/>
      <c r="B35" s="51" t="s">
        <v>9</v>
      </c>
      <c r="C35" s="42"/>
      <c r="D35" s="249" t="s">
        <v>236</v>
      </c>
      <c r="E35" s="79"/>
      <c r="F35" s="79"/>
      <c r="G35" s="79"/>
      <c r="H35" s="79"/>
      <c r="I35" s="79"/>
      <c r="J35" s="80"/>
      <c r="K35" s="80"/>
      <c r="L35" s="80"/>
      <c r="M35" s="80"/>
      <c r="N35" s="80"/>
      <c r="O35" s="80"/>
      <c r="P35" s="80"/>
      <c r="Q35" s="81"/>
      <c r="R35" s="81"/>
      <c r="S35" s="82"/>
      <c r="T35" s="83"/>
      <c r="U35" s="83"/>
      <c r="V35" s="83"/>
      <c r="W35" s="83"/>
      <c r="X35" s="81"/>
      <c r="Y35" s="81"/>
      <c r="Z35" s="81"/>
      <c r="AA35" s="81"/>
      <c r="AB35" s="47"/>
      <c r="AC35" s="84"/>
      <c r="AD35" s="99">
        <f t="shared" si="0"/>
        <v>30000</v>
      </c>
      <c r="AE35" s="242"/>
      <c r="AF35" s="246">
        <v>30000</v>
      </c>
      <c r="AG35" s="244">
        <f t="shared" si="2"/>
        <v>30000</v>
      </c>
      <c r="AH35" s="250"/>
      <c r="AI35" s="117">
        <f t="shared" si="1"/>
        <v>0</v>
      </c>
    </row>
    <row r="36" spans="1:35" s="49" customFormat="1" ht="31.5">
      <c r="A36" s="41"/>
      <c r="B36" s="51" t="s">
        <v>10</v>
      </c>
      <c r="C36" s="42"/>
      <c r="D36" s="249" t="s">
        <v>235</v>
      </c>
      <c r="E36" s="79"/>
      <c r="F36" s="79"/>
      <c r="G36" s="79"/>
      <c r="H36" s="79"/>
      <c r="I36" s="79"/>
      <c r="J36" s="80"/>
      <c r="K36" s="80"/>
      <c r="L36" s="80"/>
      <c r="M36" s="80"/>
      <c r="N36" s="80"/>
      <c r="O36" s="80"/>
      <c r="P36" s="80"/>
      <c r="Q36" s="81"/>
      <c r="R36" s="81"/>
      <c r="S36" s="82"/>
      <c r="T36" s="83"/>
      <c r="U36" s="83"/>
      <c r="V36" s="83"/>
      <c r="W36" s="83"/>
      <c r="X36" s="81"/>
      <c r="Y36" s="81"/>
      <c r="Z36" s="81"/>
      <c r="AA36" s="81"/>
      <c r="AB36" s="47"/>
      <c r="AC36" s="84"/>
      <c r="AD36" s="99">
        <f t="shared" si="0"/>
        <v>50000</v>
      </c>
      <c r="AE36" s="242"/>
      <c r="AF36" s="246">
        <v>50000</v>
      </c>
      <c r="AG36" s="244">
        <f t="shared" si="2"/>
        <v>50000</v>
      </c>
      <c r="AH36" s="250"/>
      <c r="AI36" s="117">
        <f t="shared" si="1"/>
        <v>0</v>
      </c>
    </row>
    <row r="37" spans="1:35" s="49" customFormat="1" ht="47.25">
      <c r="A37" s="41"/>
      <c r="B37" s="51" t="s">
        <v>11</v>
      </c>
      <c r="C37" s="42"/>
      <c r="D37" s="249" t="s">
        <v>226</v>
      </c>
      <c r="E37" s="79"/>
      <c r="F37" s="79"/>
      <c r="G37" s="79"/>
      <c r="H37" s="79"/>
      <c r="I37" s="79"/>
      <c r="J37" s="80"/>
      <c r="K37" s="80"/>
      <c r="L37" s="80"/>
      <c r="M37" s="80"/>
      <c r="N37" s="80"/>
      <c r="O37" s="80"/>
      <c r="P37" s="80"/>
      <c r="Q37" s="81"/>
      <c r="R37" s="81"/>
      <c r="S37" s="82"/>
      <c r="T37" s="83"/>
      <c r="U37" s="83"/>
      <c r="V37" s="83"/>
      <c r="W37" s="83"/>
      <c r="X37" s="81"/>
      <c r="Y37" s="81"/>
      <c r="Z37" s="81"/>
      <c r="AA37" s="81"/>
      <c r="AB37" s="47"/>
      <c r="AC37" s="84"/>
      <c r="AD37" s="99">
        <f t="shared" si="0"/>
        <v>287000</v>
      </c>
      <c r="AE37" s="242"/>
      <c r="AF37" s="246">
        <v>287000</v>
      </c>
      <c r="AG37" s="244">
        <f t="shared" si="2"/>
        <v>287000</v>
      </c>
      <c r="AH37" s="250"/>
      <c r="AI37" s="117">
        <f t="shared" si="1"/>
        <v>0</v>
      </c>
    </row>
    <row r="38" spans="1:35" s="49" customFormat="1" ht="31.5">
      <c r="A38" s="41"/>
      <c r="B38" s="51" t="s">
        <v>12</v>
      </c>
      <c r="C38" s="42"/>
      <c r="D38" s="249" t="s">
        <v>182</v>
      </c>
      <c r="E38" s="79"/>
      <c r="F38" s="79"/>
      <c r="G38" s="79"/>
      <c r="H38" s="79"/>
      <c r="I38" s="79"/>
      <c r="J38" s="80"/>
      <c r="K38" s="80"/>
      <c r="L38" s="80"/>
      <c r="M38" s="80"/>
      <c r="N38" s="80"/>
      <c r="O38" s="80"/>
      <c r="P38" s="80"/>
      <c r="Q38" s="81"/>
      <c r="R38" s="81"/>
      <c r="S38" s="82"/>
      <c r="T38" s="83"/>
      <c r="U38" s="83"/>
      <c r="V38" s="83"/>
      <c r="W38" s="83"/>
      <c r="X38" s="81"/>
      <c r="Y38" s="81"/>
      <c r="Z38" s="81"/>
      <c r="AA38" s="81"/>
      <c r="AB38" s="47"/>
      <c r="AC38" s="84"/>
      <c r="AD38" s="99">
        <f t="shared" si="0"/>
        <v>20000</v>
      </c>
      <c r="AE38" s="242"/>
      <c r="AF38" s="246">
        <v>20000</v>
      </c>
      <c r="AG38" s="244">
        <f t="shared" si="2"/>
        <v>20000</v>
      </c>
      <c r="AH38" s="251">
        <f>19998.84</f>
        <v>19998.84</v>
      </c>
      <c r="AI38" s="117">
        <f t="shared" si="1"/>
        <v>99.9942</v>
      </c>
    </row>
    <row r="39" spans="1:35" s="49" customFormat="1" ht="31.5">
      <c r="A39" s="41"/>
      <c r="B39" s="51" t="s">
        <v>13</v>
      </c>
      <c r="C39" s="42"/>
      <c r="D39" s="249" t="s">
        <v>183</v>
      </c>
      <c r="E39" s="79"/>
      <c r="F39" s="79"/>
      <c r="G39" s="79"/>
      <c r="H39" s="79"/>
      <c r="I39" s="79"/>
      <c r="J39" s="80"/>
      <c r="K39" s="80"/>
      <c r="L39" s="80"/>
      <c r="M39" s="80"/>
      <c r="N39" s="80"/>
      <c r="O39" s="80"/>
      <c r="P39" s="80"/>
      <c r="Q39" s="81"/>
      <c r="R39" s="81"/>
      <c r="S39" s="82"/>
      <c r="T39" s="83"/>
      <c r="U39" s="83"/>
      <c r="V39" s="83"/>
      <c r="W39" s="83"/>
      <c r="X39" s="81"/>
      <c r="Y39" s="81"/>
      <c r="Z39" s="81"/>
      <c r="AA39" s="81"/>
      <c r="AB39" s="47"/>
      <c r="AC39" s="84"/>
      <c r="AD39" s="99">
        <f t="shared" si="0"/>
        <v>2087910</v>
      </c>
      <c r="AE39" s="242"/>
      <c r="AF39" s="243">
        <v>2087910</v>
      </c>
      <c r="AG39" s="244">
        <f t="shared" si="2"/>
        <v>2087910</v>
      </c>
      <c r="AH39" s="244">
        <f>1197198.45+9181.48+138704.34+8557.81</f>
        <v>1353642.08</v>
      </c>
      <c r="AI39" s="117">
        <f t="shared" si="1"/>
        <v>64.83239603239603</v>
      </c>
    </row>
    <row r="40" spans="1:35" s="49" customFormat="1" ht="31.5">
      <c r="A40" s="41"/>
      <c r="B40" s="51" t="s">
        <v>14</v>
      </c>
      <c r="C40" s="42"/>
      <c r="D40" s="252" t="s">
        <v>184</v>
      </c>
      <c r="E40" s="79"/>
      <c r="F40" s="79"/>
      <c r="G40" s="79"/>
      <c r="H40" s="79"/>
      <c r="I40" s="79"/>
      <c r="J40" s="80"/>
      <c r="K40" s="80"/>
      <c r="L40" s="80"/>
      <c r="M40" s="80"/>
      <c r="N40" s="80"/>
      <c r="O40" s="80"/>
      <c r="P40" s="80"/>
      <c r="Q40" s="81"/>
      <c r="R40" s="81"/>
      <c r="S40" s="82"/>
      <c r="T40" s="83"/>
      <c r="U40" s="83"/>
      <c r="V40" s="83"/>
      <c r="W40" s="83"/>
      <c r="X40" s="81"/>
      <c r="Y40" s="81"/>
      <c r="Z40" s="81"/>
      <c r="AA40" s="81"/>
      <c r="AB40" s="47"/>
      <c r="AC40" s="84"/>
      <c r="AD40" s="99">
        <f t="shared" si="0"/>
        <v>366158.6</v>
      </c>
      <c r="AE40" s="242"/>
      <c r="AF40" s="243">
        <v>366158.6</v>
      </c>
      <c r="AG40" s="244">
        <f t="shared" si="2"/>
        <v>366158.6</v>
      </c>
      <c r="AH40" s="244">
        <f>232868+127807.6+5483</f>
        <v>366158.6</v>
      </c>
      <c r="AI40" s="117">
        <f t="shared" si="1"/>
        <v>100</v>
      </c>
    </row>
    <row r="41" spans="1:35" s="49" customFormat="1" ht="31.5">
      <c r="A41" s="41"/>
      <c r="B41" s="51" t="s">
        <v>15</v>
      </c>
      <c r="C41" s="42"/>
      <c r="D41" s="252" t="s">
        <v>185</v>
      </c>
      <c r="E41" s="79"/>
      <c r="F41" s="79"/>
      <c r="G41" s="79"/>
      <c r="H41" s="79"/>
      <c r="I41" s="79"/>
      <c r="J41" s="80"/>
      <c r="K41" s="80"/>
      <c r="L41" s="80"/>
      <c r="M41" s="80"/>
      <c r="N41" s="80"/>
      <c r="O41" s="80"/>
      <c r="P41" s="80"/>
      <c r="Q41" s="81"/>
      <c r="R41" s="81"/>
      <c r="S41" s="82"/>
      <c r="T41" s="83"/>
      <c r="U41" s="83"/>
      <c r="V41" s="83"/>
      <c r="W41" s="83"/>
      <c r="X41" s="81"/>
      <c r="Y41" s="81"/>
      <c r="Z41" s="81"/>
      <c r="AA41" s="81"/>
      <c r="AB41" s="47"/>
      <c r="AC41" s="84"/>
      <c r="AD41" s="99">
        <f t="shared" si="0"/>
        <v>350000</v>
      </c>
      <c r="AE41" s="242"/>
      <c r="AF41" s="243">
        <v>350000</v>
      </c>
      <c r="AG41" s="244">
        <f t="shared" si="2"/>
        <v>350000</v>
      </c>
      <c r="AH41" s="48"/>
      <c r="AI41" s="117">
        <f t="shared" si="1"/>
        <v>0</v>
      </c>
    </row>
    <row r="42" spans="1:35" s="49" customFormat="1" ht="31.5">
      <c r="A42" s="41"/>
      <c r="B42" s="51" t="s">
        <v>16</v>
      </c>
      <c r="C42" s="42"/>
      <c r="D42" s="252" t="s">
        <v>186</v>
      </c>
      <c r="E42" s="79"/>
      <c r="F42" s="79"/>
      <c r="G42" s="79"/>
      <c r="H42" s="79"/>
      <c r="I42" s="79"/>
      <c r="J42" s="80"/>
      <c r="K42" s="80"/>
      <c r="L42" s="80"/>
      <c r="M42" s="80"/>
      <c r="N42" s="80"/>
      <c r="O42" s="80"/>
      <c r="P42" s="80"/>
      <c r="Q42" s="81"/>
      <c r="R42" s="81"/>
      <c r="S42" s="82"/>
      <c r="T42" s="83"/>
      <c r="U42" s="83"/>
      <c r="V42" s="83"/>
      <c r="W42" s="83"/>
      <c r="X42" s="81"/>
      <c r="Y42" s="81"/>
      <c r="Z42" s="81"/>
      <c r="AA42" s="81"/>
      <c r="AB42" s="47"/>
      <c r="AC42" s="84"/>
      <c r="AD42" s="99">
        <f t="shared" si="0"/>
        <v>218557.2</v>
      </c>
      <c r="AE42" s="242"/>
      <c r="AF42" s="243">
        <v>218557.2</v>
      </c>
      <c r="AG42" s="244">
        <f t="shared" si="2"/>
        <v>218557.2</v>
      </c>
      <c r="AH42" s="244">
        <f>149555.88+63567.72+5164.8</f>
        <v>218288.4</v>
      </c>
      <c r="AI42" s="117">
        <f t="shared" si="1"/>
        <v>99.87701160153955</v>
      </c>
    </row>
    <row r="43" spans="1:35" s="49" customFormat="1" ht="31.5">
      <c r="A43" s="41"/>
      <c r="B43" s="51" t="s">
        <v>17</v>
      </c>
      <c r="C43" s="42"/>
      <c r="D43" s="252" t="s">
        <v>233</v>
      </c>
      <c r="E43" s="79"/>
      <c r="F43" s="79"/>
      <c r="G43" s="79"/>
      <c r="H43" s="79"/>
      <c r="I43" s="79"/>
      <c r="J43" s="80"/>
      <c r="K43" s="80"/>
      <c r="L43" s="80"/>
      <c r="M43" s="80"/>
      <c r="N43" s="80"/>
      <c r="O43" s="80"/>
      <c r="P43" s="80"/>
      <c r="Q43" s="81"/>
      <c r="R43" s="81"/>
      <c r="S43" s="82"/>
      <c r="T43" s="83"/>
      <c r="U43" s="83"/>
      <c r="V43" s="83"/>
      <c r="W43" s="83"/>
      <c r="X43" s="81"/>
      <c r="Y43" s="81"/>
      <c r="Z43" s="81"/>
      <c r="AA43" s="81"/>
      <c r="AB43" s="47"/>
      <c r="AC43" s="84"/>
      <c r="AD43" s="99">
        <f t="shared" si="0"/>
        <v>595000</v>
      </c>
      <c r="AE43" s="242"/>
      <c r="AF43" s="243">
        <v>595000</v>
      </c>
      <c r="AG43" s="244">
        <f t="shared" si="2"/>
        <v>595000</v>
      </c>
      <c r="AH43" s="244">
        <f>44069+44069.8</f>
        <v>88138.8</v>
      </c>
      <c r="AI43" s="117">
        <f t="shared" si="1"/>
        <v>14.813243697478992</v>
      </c>
    </row>
    <row r="44" spans="1:35" s="49" customFormat="1" ht="31.5">
      <c r="A44" s="41"/>
      <c r="B44" s="51" t="s">
        <v>18</v>
      </c>
      <c r="C44" s="42"/>
      <c r="D44" s="245" t="s">
        <v>224</v>
      </c>
      <c r="E44" s="79"/>
      <c r="F44" s="79"/>
      <c r="G44" s="79"/>
      <c r="H44" s="79"/>
      <c r="I44" s="79"/>
      <c r="J44" s="80"/>
      <c r="K44" s="80"/>
      <c r="L44" s="80"/>
      <c r="M44" s="80"/>
      <c r="N44" s="80"/>
      <c r="O44" s="80"/>
      <c r="P44" s="80"/>
      <c r="Q44" s="81"/>
      <c r="R44" s="81"/>
      <c r="S44" s="82"/>
      <c r="T44" s="83"/>
      <c r="U44" s="83"/>
      <c r="V44" s="83"/>
      <c r="W44" s="83"/>
      <c r="X44" s="81"/>
      <c r="Y44" s="81"/>
      <c r="Z44" s="81"/>
      <c r="AA44" s="81"/>
      <c r="AB44" s="47"/>
      <c r="AC44" s="84"/>
      <c r="AD44" s="99">
        <f t="shared" si="0"/>
        <v>923000</v>
      </c>
      <c r="AE44" s="242"/>
      <c r="AF44" s="243">
        <v>923000</v>
      </c>
      <c r="AG44" s="244">
        <f t="shared" si="2"/>
        <v>923000</v>
      </c>
      <c r="AH44" s="48"/>
      <c r="AI44" s="117">
        <f t="shared" si="1"/>
        <v>0</v>
      </c>
    </row>
    <row r="45" spans="1:35" s="49" customFormat="1" ht="31.5">
      <c r="A45" s="41"/>
      <c r="B45" s="51" t="s">
        <v>214</v>
      </c>
      <c r="C45" s="42"/>
      <c r="D45" s="245" t="s">
        <v>222</v>
      </c>
      <c r="E45" s="79"/>
      <c r="F45" s="79"/>
      <c r="G45" s="79"/>
      <c r="H45" s="79"/>
      <c r="I45" s="79"/>
      <c r="J45" s="80"/>
      <c r="K45" s="80"/>
      <c r="L45" s="80"/>
      <c r="M45" s="80"/>
      <c r="N45" s="80"/>
      <c r="O45" s="80"/>
      <c r="P45" s="80"/>
      <c r="Q45" s="81"/>
      <c r="R45" s="81"/>
      <c r="S45" s="82"/>
      <c r="T45" s="83"/>
      <c r="U45" s="83"/>
      <c r="V45" s="83"/>
      <c r="W45" s="83"/>
      <c r="X45" s="81"/>
      <c r="Y45" s="81"/>
      <c r="Z45" s="81"/>
      <c r="AA45" s="81"/>
      <c r="AB45" s="47"/>
      <c r="AC45" s="84"/>
      <c r="AD45" s="253">
        <v>220000</v>
      </c>
      <c r="AE45" s="242"/>
      <c r="AF45" s="243">
        <v>220000</v>
      </c>
      <c r="AG45" s="244">
        <f t="shared" si="2"/>
        <v>220000</v>
      </c>
      <c r="AH45" s="244">
        <f>125982.23+1886.88</f>
        <v>127869.11</v>
      </c>
      <c r="AI45" s="117">
        <f t="shared" si="1"/>
        <v>58.122322727272724</v>
      </c>
    </row>
    <row r="46" spans="1:35" s="49" customFormat="1" ht="31.5">
      <c r="A46" s="41"/>
      <c r="B46" s="51" t="s">
        <v>215</v>
      </c>
      <c r="C46" s="42"/>
      <c r="D46" s="245" t="s">
        <v>216</v>
      </c>
      <c r="E46" s="79"/>
      <c r="F46" s="79"/>
      <c r="G46" s="79"/>
      <c r="H46" s="79"/>
      <c r="I46" s="79"/>
      <c r="J46" s="80"/>
      <c r="K46" s="80"/>
      <c r="L46" s="80"/>
      <c r="M46" s="80"/>
      <c r="N46" s="80"/>
      <c r="O46" s="80"/>
      <c r="P46" s="80"/>
      <c r="Q46" s="81"/>
      <c r="R46" s="81"/>
      <c r="S46" s="82"/>
      <c r="T46" s="83"/>
      <c r="U46" s="83"/>
      <c r="V46" s="83"/>
      <c r="W46" s="83"/>
      <c r="X46" s="81"/>
      <c r="Y46" s="81"/>
      <c r="Z46" s="81"/>
      <c r="AA46" s="81"/>
      <c r="AB46" s="47"/>
      <c r="AC46" s="84"/>
      <c r="AD46" s="253">
        <v>60000</v>
      </c>
      <c r="AE46" s="242"/>
      <c r="AF46" s="243">
        <v>60000</v>
      </c>
      <c r="AG46" s="244">
        <f t="shared" si="2"/>
        <v>60000</v>
      </c>
      <c r="AH46" s="48"/>
      <c r="AI46" s="117">
        <f t="shared" si="1"/>
        <v>0</v>
      </c>
    </row>
    <row r="47" spans="1:35" s="49" customFormat="1" ht="31.5">
      <c r="A47" s="41"/>
      <c r="B47" s="51" t="s">
        <v>217</v>
      </c>
      <c r="C47" s="42"/>
      <c r="D47" s="245" t="s">
        <v>239</v>
      </c>
      <c r="E47" s="79"/>
      <c r="F47" s="79"/>
      <c r="G47" s="79"/>
      <c r="H47" s="79"/>
      <c r="I47" s="79"/>
      <c r="J47" s="80"/>
      <c r="K47" s="80"/>
      <c r="L47" s="80"/>
      <c r="M47" s="80"/>
      <c r="N47" s="80"/>
      <c r="O47" s="80"/>
      <c r="P47" s="80"/>
      <c r="Q47" s="81"/>
      <c r="R47" s="81"/>
      <c r="S47" s="82"/>
      <c r="T47" s="83"/>
      <c r="U47" s="83"/>
      <c r="V47" s="83"/>
      <c r="W47" s="83"/>
      <c r="X47" s="81"/>
      <c r="Y47" s="81"/>
      <c r="Z47" s="81"/>
      <c r="AA47" s="81"/>
      <c r="AB47" s="47"/>
      <c r="AC47" s="84"/>
      <c r="AD47" s="253">
        <f>AF47</f>
        <v>534966</v>
      </c>
      <c r="AE47" s="242"/>
      <c r="AF47" s="243">
        <v>534966</v>
      </c>
      <c r="AG47" s="244">
        <f t="shared" si="2"/>
        <v>534966</v>
      </c>
      <c r="AH47" s="48"/>
      <c r="AI47" s="117">
        <f t="shared" si="1"/>
        <v>0</v>
      </c>
    </row>
    <row r="48" spans="1:35" s="49" customFormat="1" ht="31.5">
      <c r="A48" s="41"/>
      <c r="B48" s="51" t="s">
        <v>237</v>
      </c>
      <c r="C48" s="42"/>
      <c r="D48" s="245" t="s">
        <v>240</v>
      </c>
      <c r="E48" s="79"/>
      <c r="F48" s="79"/>
      <c r="G48" s="79"/>
      <c r="H48" s="79"/>
      <c r="I48" s="79"/>
      <c r="J48" s="80"/>
      <c r="K48" s="80"/>
      <c r="L48" s="80"/>
      <c r="M48" s="80"/>
      <c r="N48" s="80"/>
      <c r="O48" s="80"/>
      <c r="P48" s="80"/>
      <c r="Q48" s="81"/>
      <c r="R48" s="81"/>
      <c r="S48" s="82"/>
      <c r="T48" s="83"/>
      <c r="U48" s="83"/>
      <c r="V48" s="83"/>
      <c r="W48" s="83"/>
      <c r="X48" s="81"/>
      <c r="Y48" s="81"/>
      <c r="Z48" s="81"/>
      <c r="AA48" s="81"/>
      <c r="AB48" s="47"/>
      <c r="AC48" s="84"/>
      <c r="AD48" s="253">
        <f>AF48</f>
        <v>50000</v>
      </c>
      <c r="AE48" s="242"/>
      <c r="AF48" s="243">
        <v>50000</v>
      </c>
      <c r="AG48" s="244">
        <f t="shared" si="2"/>
        <v>50000</v>
      </c>
      <c r="AH48" s="48"/>
      <c r="AI48" s="117">
        <f t="shared" si="1"/>
        <v>0</v>
      </c>
    </row>
    <row r="49" spans="1:35" s="49" customFormat="1" ht="31.5">
      <c r="A49" s="41"/>
      <c r="B49" s="51" t="s">
        <v>238</v>
      </c>
      <c r="C49" s="42"/>
      <c r="D49" s="245" t="s">
        <v>181</v>
      </c>
      <c r="E49" s="79"/>
      <c r="F49" s="79"/>
      <c r="G49" s="79"/>
      <c r="H49" s="79"/>
      <c r="I49" s="79"/>
      <c r="J49" s="80"/>
      <c r="K49" s="80"/>
      <c r="L49" s="80"/>
      <c r="M49" s="80"/>
      <c r="N49" s="80"/>
      <c r="O49" s="80"/>
      <c r="P49" s="80"/>
      <c r="Q49" s="81"/>
      <c r="R49" s="81"/>
      <c r="S49" s="82"/>
      <c r="T49" s="83"/>
      <c r="U49" s="83"/>
      <c r="V49" s="83"/>
      <c r="W49" s="83"/>
      <c r="X49" s="81"/>
      <c r="Y49" s="81"/>
      <c r="Z49" s="81"/>
      <c r="AA49" s="81"/>
      <c r="AB49" s="47"/>
      <c r="AC49" s="84"/>
      <c r="AD49" s="253">
        <f aca="true" t="shared" si="3" ref="AD49:AD63">AE49+AF49</f>
        <v>300000</v>
      </c>
      <c r="AE49" s="242"/>
      <c r="AF49" s="243">
        <v>300000</v>
      </c>
      <c r="AG49" s="244">
        <f t="shared" si="2"/>
        <v>300000</v>
      </c>
      <c r="AH49" s="244">
        <v>11831.73</v>
      </c>
      <c r="AI49" s="117">
        <f>AH49/AF49*100</f>
        <v>3.94391</v>
      </c>
    </row>
    <row r="50" spans="1:35" ht="37.5">
      <c r="A50" s="8"/>
      <c r="B50" s="53" t="s">
        <v>19</v>
      </c>
      <c r="C50" s="54"/>
      <c r="D50" s="55" t="s">
        <v>87</v>
      </c>
      <c r="E50" s="56"/>
      <c r="F50" s="56"/>
      <c r="G50" s="57"/>
      <c r="H50" s="56"/>
      <c r="I50" s="56"/>
      <c r="J50" s="58"/>
      <c r="K50" s="58"/>
      <c r="L50" s="58"/>
      <c r="M50" s="58"/>
      <c r="N50" s="58"/>
      <c r="O50" s="58"/>
      <c r="P50" s="58"/>
      <c r="Q50" s="59"/>
      <c r="R50" s="59"/>
      <c r="S50" s="60"/>
      <c r="T50" s="61"/>
      <c r="U50" s="61"/>
      <c r="V50" s="61"/>
      <c r="W50" s="61"/>
      <c r="X50" s="59"/>
      <c r="Y50" s="59"/>
      <c r="Z50" s="59"/>
      <c r="AA50" s="59"/>
      <c r="AB50" s="62"/>
      <c r="AC50" s="63"/>
      <c r="AD50" s="52">
        <f t="shared" si="3"/>
        <v>13200000</v>
      </c>
      <c r="AE50" s="64"/>
      <c r="AF50" s="65">
        <f>AF51</f>
        <v>13200000</v>
      </c>
      <c r="AG50" s="65">
        <f>AG51</f>
        <v>13200000</v>
      </c>
      <c r="AH50" s="65">
        <f>AH51</f>
        <v>7369032.300000001</v>
      </c>
      <c r="AI50" s="17">
        <f>AH50/AF50*100</f>
        <v>55.82600227272728</v>
      </c>
    </row>
    <row r="51" spans="1:35" ht="60" customHeight="1">
      <c r="A51" s="8"/>
      <c r="B51" s="51" t="s">
        <v>94</v>
      </c>
      <c r="C51" s="37"/>
      <c r="D51" s="254" t="s">
        <v>176</v>
      </c>
      <c r="E51" s="9"/>
      <c r="F51" s="9"/>
      <c r="G51" s="10"/>
      <c r="H51" s="9"/>
      <c r="I51" s="9"/>
      <c r="J51" s="8"/>
      <c r="K51" s="8"/>
      <c r="L51" s="8"/>
      <c r="M51" s="8"/>
      <c r="N51" s="8"/>
      <c r="O51" s="8"/>
      <c r="P51" s="8"/>
      <c r="Q51" s="11"/>
      <c r="R51" s="11"/>
      <c r="S51" s="12"/>
      <c r="T51" s="13"/>
      <c r="U51" s="13"/>
      <c r="V51" s="13"/>
      <c r="W51" s="13"/>
      <c r="X51" s="11"/>
      <c r="Y51" s="11"/>
      <c r="Z51" s="14"/>
      <c r="AA51" s="14"/>
      <c r="AB51" s="38"/>
      <c r="AC51" s="39"/>
      <c r="AD51" s="115">
        <f t="shared" si="3"/>
        <v>13200000</v>
      </c>
      <c r="AE51" s="255"/>
      <c r="AF51" s="256">
        <v>13200000</v>
      </c>
      <c r="AG51" s="244">
        <f>AF51</f>
        <v>13200000</v>
      </c>
      <c r="AH51" s="244">
        <f>1597033.05+196051.8+368320.69+295194.74+260411.81+59377.6+927694.64+191139.2+106867.54+511967+1681298.65+1173675.58</f>
        <v>7369032.300000001</v>
      </c>
      <c r="AI51" s="117">
        <f>AH51/AF51*100</f>
        <v>55.82600227272728</v>
      </c>
    </row>
    <row r="52" spans="1:35" ht="18.75">
      <c r="A52" s="15">
        <v>4</v>
      </c>
      <c r="B52" s="15" t="s">
        <v>20</v>
      </c>
      <c r="C52" s="16"/>
      <c r="D52" s="85" t="s">
        <v>54</v>
      </c>
      <c r="E52" s="56"/>
      <c r="F52" s="56"/>
      <c r="G52" s="57"/>
      <c r="H52" s="56"/>
      <c r="I52" s="56"/>
      <c r="J52" s="58"/>
      <c r="K52" s="58"/>
      <c r="L52" s="58"/>
      <c r="M52" s="86" t="e">
        <f>M53+M61+M69+M73+#REF!+M79+M80+M84+M87+M91+M98+M60+M101+M102+M103+M104+M105+M106+#REF!+#REF!+M115</f>
        <v>#REF!</v>
      </c>
      <c r="N52" s="86" t="e">
        <f>N53+N61+N69+N73+#REF!+N79+N80+N84+N87+N91+N98+N60+N101+N102+N103+N104+N105+N106+#REF!+#REF!+N115</f>
        <v>#VALUE!</v>
      </c>
      <c r="O52" s="86" t="e">
        <f>O53+O61+O69+O73+#REF!+O79+O80+O84+O87+O91+O98+O60+O101+O102+O103+O104+O105+O106+#REF!+#REF!+O115</f>
        <v>#REF!</v>
      </c>
      <c r="P52" s="87" t="e">
        <f>P53+P61+P69+P73+P78+P84+P87+P96+P98+P101+P102+P103+P104+P105+P106+P115</f>
        <v>#REF!</v>
      </c>
      <c r="Q52" s="86" t="e">
        <f>Q53+Q61+Q69+Q73+#REF!+Q79+Q80+Q84+Q87+Q91+Q98+Q60+Q101+Q102+Q103+Q104+Q105+Q106+#REF!+#REF!+Q115</f>
        <v>#REF!</v>
      </c>
      <c r="R52" s="86" t="e">
        <f>R53+R61+R69+R73+#REF!+R79+R80+R84+R87+R91+R98+R60+R101+R102+R103+R104+R105+R106+#REF!+#REF!+R115</f>
        <v>#REF!</v>
      </c>
      <c r="S52" s="86" t="e">
        <f>S53+S61+S69+S73+#REF!+S79+S80+S84+S87+S91+S98+S60+S101+S102+S103+S104+S105+S106+#REF!+#REF!+S115</f>
        <v>#REF!</v>
      </c>
      <c r="T52" s="86" t="e">
        <f>T53+T61+T69+T73+#REF!+T79+T80+T84+T87+T91+T98+T60+T101+T102+T103+T104+T105+T106+#REF!+#REF!+T115</f>
        <v>#REF!</v>
      </c>
      <c r="U52" s="86" t="e">
        <f>U53+U61+U69+U73+#REF!+U79+U80+U84+U87+U91+U98+U60+U101+U102+U103+U104+U105+U106+#REF!+#REF!+U115</f>
        <v>#REF!</v>
      </c>
      <c r="V52" s="86" t="e">
        <f>V53+V61+V69+V73+#REF!+V79+V80+V84+V87+V91+V98+V60+V101+V102+V103+V104+V105+V106+#REF!+#REF!+V115</f>
        <v>#REF!</v>
      </c>
      <c r="W52" s="88" t="e">
        <f>W56+W73+#REF!+W88</f>
        <v>#REF!</v>
      </c>
      <c r="X52" s="86" t="e">
        <f>X53+X61+X69+X73+#REF!+X91+X60+X79+X98+X101+X80+X103+X84+X104+X106+X102+X105+X87</f>
        <v>#REF!</v>
      </c>
      <c r="Y52" s="89" t="e">
        <f>X52/P52*100</f>
        <v>#REF!</v>
      </c>
      <c r="Z52" s="87" t="e">
        <f>Z53+Z61+Z69+Z73+Z78+Z84+Z87+Z96+Z98+Z101+Z102+Z103+Z104+Z105+Z106+Z116</f>
        <v>#REF!</v>
      </c>
      <c r="AA52" s="86" t="e">
        <f aca="true" t="shared" si="4" ref="AA52:AA57">Z52/P52*100</f>
        <v>#REF!</v>
      </c>
      <c r="AB52" s="90" t="e">
        <f aca="true" t="shared" si="5" ref="AB52:AB57">Z52-P52</f>
        <v>#REF!</v>
      </c>
      <c r="AC52" s="63"/>
      <c r="AD52" s="91">
        <f t="shared" si="3"/>
        <v>55223879.668198995</v>
      </c>
      <c r="AE52" s="87">
        <f>AE53+AE61+AE69+AE73+AE78+AE84+AE87+AE96+AE98+AE101+AE102+AE103+AE104+AE105+AE106+AE111</f>
        <v>55223879.668198995</v>
      </c>
      <c r="AF52" s="63"/>
      <c r="AG52" s="63"/>
      <c r="AH52" s="87">
        <f>AH53+AH61+AH69+AH73+AH78+AH84+AH87+AH96+AH98+AH101+AH102+AH103+AH104+AH105+AH106+AH111</f>
        <v>50729400.57</v>
      </c>
      <c r="AI52" s="89">
        <f aca="true" t="shared" si="6" ref="AI52:AI84">AH52/AE52*100</f>
        <v>91.86134852313324</v>
      </c>
    </row>
    <row r="53" spans="1:35" s="2" customFormat="1" ht="31.5">
      <c r="A53" s="66" t="s">
        <v>98</v>
      </c>
      <c r="B53" s="66" t="s">
        <v>95</v>
      </c>
      <c r="C53" s="67"/>
      <c r="D53" s="92" t="s">
        <v>55</v>
      </c>
      <c r="E53" s="93">
        <v>4945</v>
      </c>
      <c r="F53" s="93" t="e">
        <f>4797.2+#REF!</f>
        <v>#REF!</v>
      </c>
      <c r="G53" s="93">
        <v>516.2</v>
      </c>
      <c r="H53" s="93">
        <v>4326</v>
      </c>
      <c r="I53" s="93">
        <f>7616.03-3700.736</f>
        <v>3915.294</v>
      </c>
      <c r="J53" s="93">
        <v>3323</v>
      </c>
      <c r="K53" s="93">
        <v>4326</v>
      </c>
      <c r="L53" s="93" t="s">
        <v>56</v>
      </c>
      <c r="M53" s="94">
        <f>M54+M55+M57+M56</f>
        <v>7956400</v>
      </c>
      <c r="N53" s="94">
        <f>N54+N55+N57+N56</f>
        <v>0</v>
      </c>
      <c r="O53" s="94">
        <f>O54+O55+O57+O56</f>
        <v>20746400</v>
      </c>
      <c r="P53" s="95">
        <f>P54+P55+P57+P56+P60</f>
        <v>11194558.2</v>
      </c>
      <c r="Q53" s="94">
        <f aca="true" t="shared" si="7" ref="Q53:V53">Q54+Q55+Q57+Q56</f>
        <v>10373200</v>
      </c>
      <c r="R53" s="94">
        <f t="shared" si="7"/>
        <v>0</v>
      </c>
      <c r="S53" s="94">
        <f t="shared" si="7"/>
        <v>0</v>
      </c>
      <c r="T53" s="94">
        <f t="shared" si="7"/>
        <v>7206768.960000001</v>
      </c>
      <c r="U53" s="94">
        <f t="shared" si="7"/>
        <v>0</v>
      </c>
      <c r="V53" s="94">
        <f t="shared" si="7"/>
        <v>13605960.81</v>
      </c>
      <c r="W53" s="94"/>
      <c r="X53" s="94">
        <f>X54+X55+X57</f>
        <v>7425268.960000001</v>
      </c>
      <c r="Y53" s="96">
        <f>X53/P53*100</f>
        <v>66.32927202075737</v>
      </c>
      <c r="Z53" s="95">
        <f>Z54+Z55+Z57+Z56+Z60</f>
        <v>14501241.25</v>
      </c>
      <c r="AA53" s="94">
        <f t="shared" si="4"/>
        <v>129.5383077288392</v>
      </c>
      <c r="AB53" s="97">
        <f t="shared" si="5"/>
        <v>3306683.0500000007</v>
      </c>
      <c r="AC53" s="98"/>
      <c r="AD53" s="99">
        <f>AE53+AF53</f>
        <v>16024691.25</v>
      </c>
      <c r="AE53" s="100">
        <f>AE54+AE55+AE57+AE56+AE60+AE58+AE59</f>
        <v>16024691.25</v>
      </c>
      <c r="AF53" s="100"/>
      <c r="AG53" s="101"/>
      <c r="AH53" s="120">
        <f>AH54+AH55+AH57+AH58+AH60+AH59</f>
        <v>14215759.799999999</v>
      </c>
      <c r="AI53" s="117">
        <f t="shared" si="6"/>
        <v>88.71159873361054</v>
      </c>
    </row>
    <row r="54" spans="1:35" ht="18.75">
      <c r="A54" s="20"/>
      <c r="B54" s="20"/>
      <c r="C54" s="21" t="s">
        <v>95</v>
      </c>
      <c r="D54" s="103" t="s">
        <v>57</v>
      </c>
      <c r="E54" s="104"/>
      <c r="F54" s="104"/>
      <c r="G54" s="104"/>
      <c r="H54" s="104"/>
      <c r="I54" s="105"/>
      <c r="J54" s="105"/>
      <c r="K54" s="105"/>
      <c r="L54" s="105"/>
      <c r="M54" s="106">
        <v>3915300</v>
      </c>
      <c r="N54" s="105"/>
      <c r="O54" s="107">
        <f>P54+Q54</f>
        <v>7830600</v>
      </c>
      <c r="P54" s="108">
        <f>Q54+R54</f>
        <v>3915300</v>
      </c>
      <c r="Q54" s="109">
        <v>3915300</v>
      </c>
      <c r="R54" s="39"/>
      <c r="S54" s="39"/>
      <c r="T54" s="109">
        <f>377576+371325+309994.8+333575+343665.2+183849+382449.6+208635+112435+213155+204635+153080</f>
        <v>3194374.6</v>
      </c>
      <c r="U54" s="109"/>
      <c r="V54" s="110">
        <v>4284918.23</v>
      </c>
      <c r="W54" s="110"/>
      <c r="X54" s="109">
        <f>377576+371325+309994.8+333575+343665.2+183849+382449.6+208635+112435+213155+204635+153080+218500</f>
        <v>3412874.6</v>
      </c>
      <c r="Y54" s="111">
        <f>X54/P54*100</f>
        <v>87.16763977217582</v>
      </c>
      <c r="Z54" s="112">
        <v>4284918.23</v>
      </c>
      <c r="AA54" s="113">
        <f t="shared" si="4"/>
        <v>109.44035527290374</v>
      </c>
      <c r="AB54" s="114">
        <f t="shared" si="5"/>
        <v>369618.23000000045</v>
      </c>
      <c r="AC54" s="48" t="s">
        <v>58</v>
      </c>
      <c r="AD54" s="115">
        <f t="shared" si="3"/>
        <v>4817918.23</v>
      </c>
      <c r="AE54" s="112">
        <v>4817918.23</v>
      </c>
      <c r="AF54" s="39"/>
      <c r="AG54" s="39"/>
      <c r="AH54" s="116">
        <f>451196.53+332740.16-66.81+399426.96+233852.31+419280+342420+316420+270160+424000+332250+632433.91</f>
        <v>4154113.06</v>
      </c>
      <c r="AI54" s="117">
        <f t="shared" si="6"/>
        <v>86.22215782188565</v>
      </c>
    </row>
    <row r="55" spans="1:35" ht="18" customHeight="1">
      <c r="A55" s="20"/>
      <c r="B55" s="20"/>
      <c r="C55" s="21" t="s">
        <v>96</v>
      </c>
      <c r="D55" s="103" t="s">
        <v>59</v>
      </c>
      <c r="E55" s="104"/>
      <c r="F55" s="104"/>
      <c r="G55" s="104"/>
      <c r="H55" s="104"/>
      <c r="I55" s="105"/>
      <c r="J55" s="105"/>
      <c r="K55" s="105"/>
      <c r="L55" s="105"/>
      <c r="M55" s="106">
        <v>3700700</v>
      </c>
      <c r="N55" s="105"/>
      <c r="O55" s="107">
        <f>P55+Q55</f>
        <v>12235000</v>
      </c>
      <c r="P55" s="108">
        <f>Q55+R55</f>
        <v>6117500</v>
      </c>
      <c r="Q55" s="109">
        <f>3700700+2416800</f>
        <v>6117500</v>
      </c>
      <c r="R55" s="39"/>
      <c r="S55" s="39"/>
      <c r="T55" s="109">
        <f>368514.26+320005.16+308997.12+245452.4+488986.08+424493.2+319141.43+361164.06+393613.2+515925.59</f>
        <v>3746292.5000000005</v>
      </c>
      <c r="U55" s="109"/>
      <c r="V55" s="110">
        <v>8196115.58</v>
      </c>
      <c r="W55" s="110"/>
      <c r="X55" s="109">
        <f>368514.26+320005.16+308997.12+245452.4+488986.08+424493.2+319141.43+361164.06+393613.2+515925.59</f>
        <v>3746292.5000000005</v>
      </c>
      <c r="Y55" s="111">
        <f>X55/P55*100</f>
        <v>61.238945647731924</v>
      </c>
      <c r="Z55" s="112">
        <v>8196115.58</v>
      </c>
      <c r="AA55" s="113">
        <f t="shared" si="4"/>
        <v>133.9781868410298</v>
      </c>
      <c r="AB55" s="114">
        <f t="shared" si="5"/>
        <v>2078615.58</v>
      </c>
      <c r="AC55" s="118" t="s">
        <v>60</v>
      </c>
      <c r="AD55" s="115">
        <f t="shared" si="3"/>
        <v>9292577.58</v>
      </c>
      <c r="AE55" s="119">
        <v>9292577.58</v>
      </c>
      <c r="AF55" s="39"/>
      <c r="AG55" s="39"/>
      <c r="AH55" s="120">
        <f>1043663.87+1051800.53+937923.95+734004.17+658837.16+525067.25+376221.5+489613.19+767265.06+814313.53+1029366.66</f>
        <v>8428076.87</v>
      </c>
      <c r="AI55" s="117">
        <f t="shared" si="6"/>
        <v>90.69686852159698</v>
      </c>
    </row>
    <row r="56" spans="1:35" ht="38.25" customHeight="1" hidden="1">
      <c r="A56" s="20"/>
      <c r="B56" s="20"/>
      <c r="C56" s="21" t="s">
        <v>95</v>
      </c>
      <c r="D56" s="121" t="s">
        <v>61</v>
      </c>
      <c r="E56" s="122"/>
      <c r="F56" s="122"/>
      <c r="G56" s="122"/>
      <c r="H56" s="122"/>
      <c r="I56" s="122"/>
      <c r="J56" s="122"/>
      <c r="K56" s="122"/>
      <c r="L56" s="122"/>
      <c r="M56" s="123">
        <v>0</v>
      </c>
      <c r="N56" s="123">
        <v>0</v>
      </c>
      <c r="O56" s="123">
        <v>0</v>
      </c>
      <c r="P56" s="124">
        <v>0</v>
      </c>
      <c r="Q56" s="123">
        <v>0</v>
      </c>
      <c r="R56" s="123">
        <v>0</v>
      </c>
      <c r="S56" s="123">
        <v>0</v>
      </c>
      <c r="T56" s="123">
        <v>0</v>
      </c>
      <c r="U56" s="123"/>
      <c r="V56" s="110">
        <v>647750</v>
      </c>
      <c r="W56" s="274">
        <v>754100</v>
      </c>
      <c r="X56" s="123">
        <v>0</v>
      </c>
      <c r="Y56" s="123">
        <v>0</v>
      </c>
      <c r="Z56" s="31">
        <v>647750</v>
      </c>
      <c r="AA56" s="113" t="e">
        <f t="shared" si="4"/>
        <v>#DIV/0!</v>
      </c>
      <c r="AB56" s="125">
        <f t="shared" si="5"/>
        <v>647750</v>
      </c>
      <c r="AC56" s="275" t="s">
        <v>62</v>
      </c>
      <c r="AD56" s="115">
        <f t="shared" si="3"/>
        <v>0</v>
      </c>
      <c r="AE56" s="119">
        <v>0</v>
      </c>
      <c r="AF56" s="39"/>
      <c r="AG56" s="39"/>
      <c r="AH56" s="116"/>
      <c r="AI56" s="117" t="e">
        <f t="shared" si="6"/>
        <v>#DIV/0!</v>
      </c>
    </row>
    <row r="57" spans="1:35" ht="31.5">
      <c r="A57" s="20"/>
      <c r="B57" s="20"/>
      <c r="C57" s="21" t="s">
        <v>95</v>
      </c>
      <c r="D57" s="126" t="s">
        <v>225</v>
      </c>
      <c r="E57" s="122"/>
      <c r="F57" s="122"/>
      <c r="G57" s="122"/>
      <c r="H57" s="122"/>
      <c r="I57" s="122"/>
      <c r="J57" s="122"/>
      <c r="K57" s="122"/>
      <c r="L57" s="122"/>
      <c r="M57" s="124">
        <v>340400</v>
      </c>
      <c r="N57" s="122"/>
      <c r="O57" s="127">
        <f>P57+Q57</f>
        <v>680800</v>
      </c>
      <c r="P57" s="124">
        <f>Q57+R57</f>
        <v>340400</v>
      </c>
      <c r="Q57" s="109">
        <v>340400</v>
      </c>
      <c r="R57" s="101"/>
      <c r="S57" s="101"/>
      <c r="T57" s="109">
        <f>31760+32267.33+557+3492.67+30267.33+3492.67+2457.54+28267.33+3492.67+30267.32+3492.67+30767.33+3492.67+30267.33+3492.67+28267.33</f>
        <v>266101.86000000004</v>
      </c>
      <c r="U57" s="109"/>
      <c r="V57" s="110">
        <v>477177</v>
      </c>
      <c r="W57" s="274"/>
      <c r="X57" s="109">
        <f>31760+32267.33+557+3492.67+30267.33+3492.67+2457.54+28267.33+3492.67+30267.32+3492.67+30767.33+3492.67+30267.33+3492.67+28267.33</f>
        <v>266101.86000000004</v>
      </c>
      <c r="Y57" s="128">
        <f>X57/P57*100</f>
        <v>78.17328437132787</v>
      </c>
      <c r="Z57" s="31">
        <v>477177</v>
      </c>
      <c r="AA57" s="113">
        <f t="shared" si="4"/>
        <v>140.18125734430083</v>
      </c>
      <c r="AB57" s="125">
        <f t="shared" si="5"/>
        <v>136777</v>
      </c>
      <c r="AC57" s="275"/>
      <c r="AD57" s="115">
        <f t="shared" si="3"/>
        <v>477177</v>
      </c>
      <c r="AE57" s="119">
        <v>477177</v>
      </c>
      <c r="AF57" s="39"/>
      <c r="AG57" s="39"/>
      <c r="AH57" s="120">
        <f>70531.7+6772.4+32179.65+4172.4+2000+32179.65+4772.4+2000+33654.16+37827.5+2000+4831.46+33654.16+8172.4+33654.15+6982.4+33654.15+4772.4+33654.15+8172.4+33654.15+6682.4</f>
        <v>435974.0800000002</v>
      </c>
      <c r="AI57" s="117">
        <f t="shared" si="6"/>
        <v>91.36527535903872</v>
      </c>
    </row>
    <row r="58" spans="1:35" ht="18.75">
      <c r="A58" s="20"/>
      <c r="B58" s="20"/>
      <c r="C58" s="21"/>
      <c r="D58" s="129" t="s">
        <v>180</v>
      </c>
      <c r="E58" s="122"/>
      <c r="F58" s="122"/>
      <c r="G58" s="122"/>
      <c r="H58" s="122"/>
      <c r="I58" s="122"/>
      <c r="J58" s="122"/>
      <c r="K58" s="122"/>
      <c r="L58" s="122"/>
      <c r="M58" s="124"/>
      <c r="N58" s="122"/>
      <c r="O58" s="127"/>
      <c r="P58" s="124"/>
      <c r="Q58" s="109"/>
      <c r="R58" s="101"/>
      <c r="S58" s="101"/>
      <c r="T58" s="109"/>
      <c r="U58" s="109"/>
      <c r="V58" s="110"/>
      <c r="W58" s="110"/>
      <c r="X58" s="109"/>
      <c r="Y58" s="128"/>
      <c r="Z58" s="31"/>
      <c r="AA58" s="113"/>
      <c r="AB58" s="125"/>
      <c r="AC58" s="118"/>
      <c r="AD58" s="115">
        <f t="shared" si="3"/>
        <v>183138</v>
      </c>
      <c r="AE58" s="119">
        <v>183138</v>
      </c>
      <c r="AF58" s="39"/>
      <c r="AG58" s="39"/>
      <c r="AH58" s="120">
        <f>24557.74+11948.26+81164.16+10672+49600</f>
        <v>177942.16</v>
      </c>
      <c r="AI58" s="117">
        <f t="shared" si="6"/>
        <v>97.16288263495288</v>
      </c>
    </row>
    <row r="59" spans="1:35" ht="15.75" customHeight="1">
      <c r="A59" s="20"/>
      <c r="B59" s="20"/>
      <c r="C59" s="21"/>
      <c r="D59" s="129" t="s">
        <v>223</v>
      </c>
      <c r="E59" s="122"/>
      <c r="F59" s="122"/>
      <c r="G59" s="122"/>
      <c r="H59" s="122"/>
      <c r="I59" s="122"/>
      <c r="J59" s="122"/>
      <c r="K59" s="122"/>
      <c r="L59" s="122"/>
      <c r="M59" s="124"/>
      <c r="N59" s="122"/>
      <c r="O59" s="127"/>
      <c r="P59" s="124"/>
      <c r="Q59" s="109"/>
      <c r="R59" s="101"/>
      <c r="S59" s="101"/>
      <c r="T59" s="109"/>
      <c r="U59" s="109"/>
      <c r="V59" s="110"/>
      <c r="W59" s="110"/>
      <c r="X59" s="109"/>
      <c r="Y59" s="128"/>
      <c r="Z59" s="31"/>
      <c r="AA59" s="113"/>
      <c r="AB59" s="125"/>
      <c r="AC59" s="118"/>
      <c r="AD59" s="115">
        <f t="shared" si="3"/>
        <v>358600</v>
      </c>
      <c r="AE59" s="119">
        <v>358600</v>
      </c>
      <c r="AF59" s="39"/>
      <c r="AG59" s="39"/>
      <c r="AH59" s="120">
        <f>26269.19+27110.07+62806.36+69322.48+38109.6</f>
        <v>223617.69999999998</v>
      </c>
      <c r="AI59" s="117">
        <f t="shared" si="6"/>
        <v>62.3585331846068</v>
      </c>
    </row>
    <row r="60" spans="1:35" ht="18.75">
      <c r="A60" s="20"/>
      <c r="B60" s="20"/>
      <c r="C60" s="21" t="s">
        <v>96</v>
      </c>
      <c r="D60" s="121" t="s">
        <v>63</v>
      </c>
      <c r="E60" s="122">
        <f>31.3+21.5</f>
        <v>52.8</v>
      </c>
      <c r="F60" s="122">
        <f>E60</f>
        <v>52.8</v>
      </c>
      <c r="G60" s="122">
        <v>0</v>
      </c>
      <c r="H60" s="122">
        <f>F60</f>
        <v>52.8</v>
      </c>
      <c r="I60" s="122">
        <v>100</v>
      </c>
      <c r="J60" s="122">
        <v>0</v>
      </c>
      <c r="K60" s="122">
        <v>52.8</v>
      </c>
      <c r="L60" s="122" t="s">
        <v>56</v>
      </c>
      <c r="M60" s="100">
        <v>821358.2</v>
      </c>
      <c r="N60" s="122" t="s">
        <v>56</v>
      </c>
      <c r="O60" s="130">
        <f>P60+Q60</f>
        <v>1642716.4</v>
      </c>
      <c r="P60" s="124">
        <f>Q60+R60</f>
        <v>821358.2</v>
      </c>
      <c r="Q60" s="131">
        <v>821358.2</v>
      </c>
      <c r="R60" s="84"/>
      <c r="S60" s="84"/>
      <c r="T60" s="131">
        <f>57313.38+61144.73+58977.29+61169.9+64788.11+63325.73+67704.89+66130.42+67368.74+72480.48</f>
        <v>640403.6699999999</v>
      </c>
      <c r="U60" s="131"/>
      <c r="V60" s="131">
        <v>895280.44</v>
      </c>
      <c r="W60" s="131"/>
      <c r="X60" s="131">
        <f>57313.38+61144.73+58977.29+61169.9+64788.11+63325.73+67704.89+66130.42+67368.74+72480.48</f>
        <v>640403.6699999999</v>
      </c>
      <c r="Y60" s="132">
        <f>X60/P60*100</f>
        <v>77.96886547184894</v>
      </c>
      <c r="Z60" s="31">
        <v>895280.44</v>
      </c>
      <c r="AA60" s="113"/>
      <c r="AB60" s="125"/>
      <c r="AC60" s="118"/>
      <c r="AD60" s="115">
        <f t="shared" si="3"/>
        <v>895280.44</v>
      </c>
      <c r="AE60" s="119">
        <f>Z60</f>
        <v>895280.44</v>
      </c>
      <c r="AF60" s="39"/>
      <c r="AG60" s="39"/>
      <c r="AH60" s="120">
        <f>137394.42+66136.03+68723.5+67679.54+68057.1+80323.56+77790.17+75308.15+76904.75+77718.71</f>
        <v>796035.9299999999</v>
      </c>
      <c r="AI60" s="117">
        <f t="shared" si="6"/>
        <v>88.91470140909144</v>
      </c>
    </row>
    <row r="61" spans="1:35" s="2" customFormat="1" ht="18.75">
      <c r="A61" s="66" t="s">
        <v>99</v>
      </c>
      <c r="B61" s="66" t="s">
        <v>96</v>
      </c>
      <c r="C61" s="67"/>
      <c r="D61" s="92" t="s">
        <v>64</v>
      </c>
      <c r="E61" s="122">
        <v>5449.4</v>
      </c>
      <c r="F61" s="122">
        <f>E61</f>
        <v>5449.4</v>
      </c>
      <c r="G61" s="122">
        <v>1012.4</v>
      </c>
      <c r="H61" s="122">
        <v>4437</v>
      </c>
      <c r="I61" s="122">
        <v>8582.5</v>
      </c>
      <c r="J61" s="122">
        <v>1513.5</v>
      </c>
      <c r="K61" s="122">
        <v>4437</v>
      </c>
      <c r="L61" s="122"/>
      <c r="M61" s="133">
        <f>M62+M63+M67+M65+M68</f>
        <v>5469440</v>
      </c>
      <c r="N61" s="133">
        <f>N62+N63+N67+N65+N68</f>
        <v>0</v>
      </c>
      <c r="O61" s="133">
        <f>O62+O63+O67+O65+O68</f>
        <v>14216880</v>
      </c>
      <c r="P61" s="100">
        <f>P62+P63+P67+P65+P68+P66</f>
        <v>5469440</v>
      </c>
      <c r="Q61" s="133">
        <f>Q62+Q63+Q67+Q65+Q68</f>
        <v>8999440</v>
      </c>
      <c r="R61" s="101"/>
      <c r="S61" s="101"/>
      <c r="T61" s="133">
        <f>T62+T63+T67+T65+T68</f>
        <v>5903520.42</v>
      </c>
      <c r="U61" s="133"/>
      <c r="V61" s="133">
        <f>V62+V63+V67+V65+V68</f>
        <v>11520000</v>
      </c>
      <c r="W61" s="133"/>
      <c r="X61" s="133">
        <f>X62+X63+X67+X65+X68</f>
        <v>5074108.42</v>
      </c>
      <c r="Y61" s="117">
        <f>X61/P61*100</f>
        <v>92.77199164813949</v>
      </c>
      <c r="Z61" s="100">
        <f>Z62+Z63+Z67+Z65+Z68+Z66</f>
        <v>11520000</v>
      </c>
      <c r="AA61" s="133">
        <f>Z61/P61*100</f>
        <v>210.62485373274046</v>
      </c>
      <c r="AB61" s="134">
        <f>Z61-P61</f>
        <v>6050560</v>
      </c>
      <c r="AC61" s="101"/>
      <c r="AD61" s="99">
        <f t="shared" si="3"/>
        <v>6781464.640000001</v>
      </c>
      <c r="AE61" s="135">
        <f>AE62+AE63+AE67+AE65+AE66+AE68</f>
        <v>6781464.640000001</v>
      </c>
      <c r="AF61" s="101"/>
      <c r="AG61" s="101"/>
      <c r="AH61" s="120">
        <f>AH62+AH63+AH65+AH66+AH67+AH68</f>
        <v>6655817.9</v>
      </c>
      <c r="AI61" s="117">
        <f t="shared" si="6"/>
        <v>98.14720349260716</v>
      </c>
    </row>
    <row r="62" spans="1:37" ht="18.75">
      <c r="A62" s="20"/>
      <c r="B62" s="20"/>
      <c r="C62" s="21" t="s">
        <v>65</v>
      </c>
      <c r="D62" s="136" t="s">
        <v>66</v>
      </c>
      <c r="E62" s="123"/>
      <c r="F62" s="123"/>
      <c r="G62" s="123"/>
      <c r="H62" s="123"/>
      <c r="I62" s="123"/>
      <c r="J62" s="123"/>
      <c r="K62" s="123"/>
      <c r="L62" s="123"/>
      <c r="M62" s="131">
        <v>1799360</v>
      </c>
      <c r="N62" s="137"/>
      <c r="O62" s="127">
        <f>P62+Q62</f>
        <v>3598720</v>
      </c>
      <c r="P62" s="124">
        <f>Q62+R62</f>
        <v>1799360</v>
      </c>
      <c r="Q62" s="109">
        <v>1799360</v>
      </c>
      <c r="R62" s="84"/>
      <c r="S62" s="84"/>
      <c r="T62" s="109">
        <f>217430.51+24131.1+75354.44+26310+83994+124498.5+49141.8+90561.58+85135+265612.24+37000+95901+94500+48300+179347.42+146901.8+86841.09+62893.68+5505.6</f>
        <v>1799359.76</v>
      </c>
      <c r="U62" s="109"/>
      <c r="V62" s="138">
        <v>4550000</v>
      </c>
      <c r="W62" s="113"/>
      <c r="X62" s="109">
        <f>217430.51+24131.1+75354.44+26310+83994+124498.5+49141.8+90561.58+85135+265612.24+37000+95901+94500+48300+179347.42+146901.8+86841.09+62893.68+5505.6</f>
        <v>1799359.76</v>
      </c>
      <c r="Y62" s="132">
        <f>X62/P62*100</f>
        <v>99.99998666192424</v>
      </c>
      <c r="Z62" s="31">
        <v>4550000</v>
      </c>
      <c r="AA62" s="113">
        <f>Z62/P62*100</f>
        <v>252.86768628845812</v>
      </c>
      <c r="AB62" s="114">
        <f>Z62-P62</f>
        <v>2750640</v>
      </c>
      <c r="AC62" s="48"/>
      <c r="AD62" s="115">
        <f t="shared" si="3"/>
        <v>2245108.16</v>
      </c>
      <c r="AE62" s="112">
        <f>P62+P62*8.1%+300000</f>
        <v>2245108.16</v>
      </c>
      <c r="AF62" s="39"/>
      <c r="AG62" s="39"/>
      <c r="AH62" s="120">
        <f>54575+145257+242875+44400+234550+55500+136500+44400+82695+96084+394784+315234+77700+19055+55500+192234+11727.9+42000</f>
        <v>2245070.9</v>
      </c>
      <c r="AI62" s="117">
        <f t="shared" si="6"/>
        <v>99.99834039176089</v>
      </c>
      <c r="AK62" s="73"/>
    </row>
    <row r="63" spans="1:37" ht="20.25" customHeight="1">
      <c r="A63" s="20"/>
      <c r="B63" s="20"/>
      <c r="C63" s="21" t="s">
        <v>65</v>
      </c>
      <c r="D63" s="121" t="s">
        <v>67</v>
      </c>
      <c r="E63" s="123"/>
      <c r="F63" s="123"/>
      <c r="G63" s="123"/>
      <c r="H63" s="123"/>
      <c r="I63" s="123"/>
      <c r="J63" s="123"/>
      <c r="K63" s="123"/>
      <c r="L63" s="123"/>
      <c r="M63" s="131">
        <f>45000+98000</f>
        <v>143000</v>
      </c>
      <c r="N63" s="137"/>
      <c r="O63" s="127">
        <f>P63+Q63</f>
        <v>286000</v>
      </c>
      <c r="P63" s="124">
        <f>Q63+R63</f>
        <v>143000</v>
      </c>
      <c r="Q63" s="109">
        <f>45000+98000</f>
        <v>143000</v>
      </c>
      <c r="R63" s="84"/>
      <c r="S63" s="84"/>
      <c r="T63" s="109">
        <f>30000+97950+15000</f>
        <v>142950</v>
      </c>
      <c r="U63" s="109"/>
      <c r="V63" s="138">
        <v>275000</v>
      </c>
      <c r="W63" s="113"/>
      <c r="X63" s="109">
        <f>30000+97950+15000</f>
        <v>142950</v>
      </c>
      <c r="Y63" s="132">
        <f>X63/P63*100</f>
        <v>99.96503496503496</v>
      </c>
      <c r="Z63" s="31">
        <v>275000</v>
      </c>
      <c r="AA63" s="113">
        <f>Z63/P63*100</f>
        <v>192.30769230769232</v>
      </c>
      <c r="AB63" s="114">
        <f>Z63-P63</f>
        <v>132000</v>
      </c>
      <c r="AC63" s="48"/>
      <c r="AD63" s="115">
        <f t="shared" si="3"/>
        <v>404583</v>
      </c>
      <c r="AE63" s="112">
        <f>P63+P63*8.1%+200000+50000</f>
        <v>404583</v>
      </c>
      <c r="AF63" s="39"/>
      <c r="AG63" s="39"/>
      <c r="AH63" s="116">
        <f>154575+135696+49300+49950</f>
        <v>389521</v>
      </c>
      <c r="AI63" s="117">
        <f t="shared" si="6"/>
        <v>96.27715450229</v>
      </c>
      <c r="AK63" s="73"/>
    </row>
    <row r="64" spans="1:35" ht="36.75" customHeight="1">
      <c r="A64" s="20"/>
      <c r="B64" s="20"/>
      <c r="C64" s="21"/>
      <c r="D64" s="139" t="s">
        <v>197</v>
      </c>
      <c r="E64" s="123"/>
      <c r="F64" s="123"/>
      <c r="G64" s="123"/>
      <c r="H64" s="123"/>
      <c r="I64" s="123"/>
      <c r="J64" s="123"/>
      <c r="K64" s="123"/>
      <c r="L64" s="123"/>
      <c r="M64" s="131"/>
      <c r="N64" s="137"/>
      <c r="O64" s="127"/>
      <c r="P64" s="124"/>
      <c r="Q64" s="109"/>
      <c r="R64" s="84"/>
      <c r="S64" s="84"/>
      <c r="T64" s="109"/>
      <c r="U64" s="109"/>
      <c r="V64" s="138"/>
      <c r="W64" s="113"/>
      <c r="X64" s="109"/>
      <c r="Y64" s="132"/>
      <c r="Z64" s="31"/>
      <c r="AA64" s="113"/>
      <c r="AB64" s="114"/>
      <c r="AC64" s="48"/>
      <c r="AD64" s="140">
        <f>AE64</f>
        <v>50000</v>
      </c>
      <c r="AE64" s="112">
        <v>50000</v>
      </c>
      <c r="AF64" s="39"/>
      <c r="AG64" s="39"/>
      <c r="AH64" s="116">
        <v>49950</v>
      </c>
      <c r="AI64" s="117">
        <f t="shared" si="6"/>
        <v>99.9</v>
      </c>
    </row>
    <row r="65" spans="1:35" ht="18.75" customHeight="1">
      <c r="A65" s="20"/>
      <c r="B65" s="20"/>
      <c r="C65" s="21" t="s">
        <v>65</v>
      </c>
      <c r="D65" s="121" t="s">
        <v>68</v>
      </c>
      <c r="E65" s="123"/>
      <c r="F65" s="123"/>
      <c r="G65" s="123"/>
      <c r="H65" s="123"/>
      <c r="I65" s="123"/>
      <c r="J65" s="123"/>
      <c r="K65" s="123"/>
      <c r="L65" s="123"/>
      <c r="M65" s="131">
        <f>252000+175000</f>
        <v>427000</v>
      </c>
      <c r="N65" s="137"/>
      <c r="O65" s="127">
        <f>P65+Q65</f>
        <v>602000</v>
      </c>
      <c r="P65" s="124">
        <v>175000</v>
      </c>
      <c r="Q65" s="109">
        <f>252000+175000</f>
        <v>427000</v>
      </c>
      <c r="R65" s="84"/>
      <c r="S65" s="84"/>
      <c r="T65" s="109">
        <f>34750+28250+25000+31750+25000+32000+25000+45500+70000+25000+34750</f>
        <v>377000</v>
      </c>
      <c r="U65" s="109"/>
      <c r="V65" s="138">
        <v>900000</v>
      </c>
      <c r="W65" s="113"/>
      <c r="X65" s="109">
        <f>34750+28250+25000+31750+25000+32000+25000+45500+70000+25000+34750+25000</f>
        <v>402000</v>
      </c>
      <c r="Y65" s="132">
        <f>X65/P65*100</f>
        <v>229.71428571428572</v>
      </c>
      <c r="Z65" s="31">
        <v>200000</v>
      </c>
      <c r="AA65" s="113">
        <f>Z65/P65*100</f>
        <v>114.28571428571428</v>
      </c>
      <c r="AB65" s="114">
        <f>Z65-P65</f>
        <v>25000</v>
      </c>
      <c r="AC65" s="48"/>
      <c r="AD65" s="115">
        <f aca="true" t="shared" si="8" ref="AD65:AD82">AE65+AF65</f>
        <v>189175</v>
      </c>
      <c r="AE65" s="112">
        <f>P65+P65*8.1%</f>
        <v>189175</v>
      </c>
      <c r="AF65" s="39"/>
      <c r="AG65" s="39"/>
      <c r="AH65" s="116">
        <f>50000+25000+25000+25000+25000+25000</f>
        <v>175000</v>
      </c>
      <c r="AI65" s="141">
        <f t="shared" si="6"/>
        <v>92.50693802035153</v>
      </c>
    </row>
    <row r="66" spans="1:37" ht="20.25" customHeight="1">
      <c r="A66" s="20"/>
      <c r="B66" s="20"/>
      <c r="C66" s="271" t="s">
        <v>69</v>
      </c>
      <c r="D66" s="121" t="s">
        <v>70</v>
      </c>
      <c r="E66" s="123"/>
      <c r="F66" s="123"/>
      <c r="G66" s="123"/>
      <c r="H66" s="123"/>
      <c r="I66" s="123"/>
      <c r="J66" s="123"/>
      <c r="K66" s="123"/>
      <c r="L66" s="123"/>
      <c r="M66" s="131"/>
      <c r="N66" s="137"/>
      <c r="O66" s="127"/>
      <c r="P66" s="124">
        <v>252000</v>
      </c>
      <c r="Q66" s="109"/>
      <c r="R66" s="84"/>
      <c r="S66" s="84"/>
      <c r="T66" s="109"/>
      <c r="U66" s="109"/>
      <c r="V66" s="138"/>
      <c r="W66" s="113"/>
      <c r="X66" s="109"/>
      <c r="Y66" s="132"/>
      <c r="Z66" s="31">
        <v>700000</v>
      </c>
      <c r="AA66" s="113"/>
      <c r="AB66" s="114"/>
      <c r="AC66" s="48"/>
      <c r="AD66" s="115">
        <f t="shared" si="8"/>
        <v>272412</v>
      </c>
      <c r="AE66" s="112">
        <f>P66+P66*8.1%</f>
        <v>272412</v>
      </c>
      <c r="AF66" s="39"/>
      <c r="AG66" s="39"/>
      <c r="AH66" s="116">
        <f>125250+44500+50500+31750</f>
        <v>252000</v>
      </c>
      <c r="AI66" s="141">
        <f t="shared" si="6"/>
        <v>92.50693802035153</v>
      </c>
      <c r="AK66" s="73"/>
    </row>
    <row r="67" spans="1:35" ht="36.75" customHeight="1">
      <c r="A67" s="20"/>
      <c r="B67" s="20"/>
      <c r="C67" s="271"/>
      <c r="D67" s="121" t="s">
        <v>71</v>
      </c>
      <c r="E67" s="123"/>
      <c r="F67" s="123"/>
      <c r="G67" s="123"/>
      <c r="H67" s="123"/>
      <c r="I67" s="123"/>
      <c r="J67" s="123"/>
      <c r="K67" s="123"/>
      <c r="L67" s="123"/>
      <c r="M67" s="131">
        <f>1231480+1589000+180000+29600</f>
        <v>3030080</v>
      </c>
      <c r="N67" s="137"/>
      <c r="O67" s="127">
        <f>P67+Q67</f>
        <v>6060160</v>
      </c>
      <c r="P67" s="124">
        <f>Q67+R67</f>
        <v>3030080</v>
      </c>
      <c r="Q67" s="109">
        <f>1231480+1589000+180000+29600</f>
        <v>3030080</v>
      </c>
      <c r="R67" s="84"/>
      <c r="S67" s="84"/>
      <c r="T67" s="109">
        <f>95028.5+188463.6+68400+157936.81+158389.75+145896+29600+29783+198012+97921.6+193183.5+70992+147900+44992.5+21677.5+14703+58116+88392+107822+50854.4+71688+74646+6000+161762+123612.5+114360+30800+133278</f>
        <v>2684210.66</v>
      </c>
      <c r="U67" s="109"/>
      <c r="V67" s="138">
        <v>5345000</v>
      </c>
      <c r="W67" s="113"/>
      <c r="X67" s="109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128">
        <f aca="true" t="shared" si="9" ref="Y67:Y75">X67/P67*100</f>
        <v>90.08998640299927</v>
      </c>
      <c r="Z67" s="31">
        <v>5345000</v>
      </c>
      <c r="AA67" s="113">
        <f aca="true" t="shared" si="10" ref="AA67:AA75">Z67/P67*100</f>
        <v>176.39798289154083</v>
      </c>
      <c r="AB67" s="114">
        <f aca="true" t="shared" si="11" ref="AB67:AB75">Z67-P67</f>
        <v>2314920</v>
      </c>
      <c r="AC67" s="48"/>
      <c r="AD67" s="115">
        <f t="shared" si="8"/>
        <v>3670186.48</v>
      </c>
      <c r="AE67" s="112">
        <v>3670186.48</v>
      </c>
      <c r="AF67" s="39"/>
      <c r="AG67" s="39"/>
      <c r="AH67" s="120">
        <f>650252+225720+335728+255610+322330+98235+227636+69632+220062+47200+209500+42432+73116+76160+37420+32712+96570+9744+45220+99960+42020+80645+56610+39960+120060+79692</f>
        <v>3594226</v>
      </c>
      <c r="AI67" s="141">
        <f t="shared" si="6"/>
        <v>97.93033731626628</v>
      </c>
    </row>
    <row r="68" spans="1:35" ht="19.5" customHeight="1">
      <c r="A68" s="20"/>
      <c r="B68" s="20"/>
      <c r="C68" s="271"/>
      <c r="D68" s="121" t="s">
        <v>72</v>
      </c>
      <c r="E68" s="123"/>
      <c r="F68" s="123"/>
      <c r="G68" s="123"/>
      <c r="H68" s="123"/>
      <c r="I68" s="123"/>
      <c r="J68" s="123"/>
      <c r="K68" s="123"/>
      <c r="L68" s="123"/>
      <c r="M68" s="131">
        <v>70000</v>
      </c>
      <c r="N68" s="137"/>
      <c r="O68" s="127">
        <f>P68+Q68</f>
        <v>3670000</v>
      </c>
      <c r="P68" s="124">
        <v>70000</v>
      </c>
      <c r="Q68" s="127">
        <f>R68+S68</f>
        <v>3600000</v>
      </c>
      <c r="R68" s="127">
        <f>S68+T68</f>
        <v>2250000</v>
      </c>
      <c r="S68" s="127">
        <f>T68+U68</f>
        <v>1350000</v>
      </c>
      <c r="T68" s="127">
        <f>U68+V68</f>
        <v>900000</v>
      </c>
      <c r="U68" s="127">
        <f>V68+W68</f>
        <v>450000</v>
      </c>
      <c r="V68" s="127">
        <v>450000</v>
      </c>
      <c r="W68" s="113"/>
      <c r="X68" s="109">
        <v>0</v>
      </c>
      <c r="Y68" s="132">
        <f t="shared" si="9"/>
        <v>0</v>
      </c>
      <c r="Z68" s="31">
        <v>450000</v>
      </c>
      <c r="AA68" s="113">
        <f t="shared" si="10"/>
        <v>642.8571428571429</v>
      </c>
      <c r="AB68" s="114">
        <f t="shared" si="11"/>
        <v>380000</v>
      </c>
      <c r="AC68" s="48"/>
      <c r="AD68" s="115">
        <f t="shared" si="8"/>
        <v>0</v>
      </c>
      <c r="AE68" s="112">
        <v>0</v>
      </c>
      <c r="AF68" s="39"/>
      <c r="AG68" s="39"/>
      <c r="AH68" s="116">
        <v>0</v>
      </c>
      <c r="AI68" s="141" t="e">
        <f t="shared" si="6"/>
        <v>#DIV/0!</v>
      </c>
    </row>
    <row r="69" spans="1:35" s="2" customFormat="1" ht="19.5" customHeight="1">
      <c r="A69" s="66" t="s">
        <v>100</v>
      </c>
      <c r="B69" s="66" t="s">
        <v>97</v>
      </c>
      <c r="C69" s="67"/>
      <c r="D69" s="92" t="s">
        <v>73</v>
      </c>
      <c r="E69" s="93">
        <f>256.5+80.3</f>
        <v>336.8</v>
      </c>
      <c r="F69" s="93">
        <f>E69</f>
        <v>336.8</v>
      </c>
      <c r="G69" s="93">
        <f>74+23.5</f>
        <v>97.5</v>
      </c>
      <c r="H69" s="93">
        <f>F69-G69</f>
        <v>239.3</v>
      </c>
      <c r="I69" s="93">
        <f>1056.05-187.9-170</f>
        <v>698.15</v>
      </c>
      <c r="J69" s="93">
        <v>74.25</v>
      </c>
      <c r="K69" s="93">
        <v>239.3</v>
      </c>
      <c r="L69" s="93"/>
      <c r="M69" s="142">
        <f>M71+M72+M70</f>
        <v>625900</v>
      </c>
      <c r="N69" s="93" t="s">
        <v>56</v>
      </c>
      <c r="O69" s="142">
        <f>P69+Q69</f>
        <v>1251800</v>
      </c>
      <c r="P69" s="95">
        <f>Q69+R69</f>
        <v>625900</v>
      </c>
      <c r="Q69" s="94">
        <f>Q70+Q71+Q72</f>
        <v>625900</v>
      </c>
      <c r="R69" s="98"/>
      <c r="S69" s="98"/>
      <c r="T69" s="94">
        <f>T70+T71+T72</f>
        <v>441324.46</v>
      </c>
      <c r="U69" s="94"/>
      <c r="V69" s="142">
        <f>V71+V72+V70</f>
        <v>637789.921</v>
      </c>
      <c r="W69" s="142"/>
      <c r="X69" s="94">
        <f>X70+X71+X72</f>
        <v>441324.46</v>
      </c>
      <c r="Y69" s="96">
        <f t="shared" si="9"/>
        <v>70.51037865473718</v>
      </c>
      <c r="Z69" s="95">
        <f>Z70+Z71+Z72</f>
        <v>1169762.37</v>
      </c>
      <c r="AA69" s="94">
        <f t="shared" si="10"/>
        <v>186.892853490973</v>
      </c>
      <c r="AB69" s="97">
        <f t="shared" si="11"/>
        <v>543862.3700000001</v>
      </c>
      <c r="AC69" s="98"/>
      <c r="AD69" s="99">
        <f t="shared" si="8"/>
        <v>969518.73</v>
      </c>
      <c r="AE69" s="100">
        <f>AE70+AE71+AE72</f>
        <v>969518.73</v>
      </c>
      <c r="AF69" s="101"/>
      <c r="AG69" s="101"/>
      <c r="AH69" s="120">
        <f>AH70+AH71+AH72</f>
        <v>764518.6599999998</v>
      </c>
      <c r="AI69" s="117">
        <f t="shared" si="6"/>
        <v>78.85548121385956</v>
      </c>
    </row>
    <row r="70" spans="1:35" ht="18.75">
      <c r="A70" s="20"/>
      <c r="B70" s="20"/>
      <c r="C70" s="21" t="s">
        <v>74</v>
      </c>
      <c r="D70" s="121" t="s">
        <v>75</v>
      </c>
      <c r="E70" s="122"/>
      <c r="F70" s="122"/>
      <c r="G70" s="122"/>
      <c r="H70" s="122"/>
      <c r="I70" s="122"/>
      <c r="J70" s="122"/>
      <c r="K70" s="122"/>
      <c r="L70" s="122"/>
      <c r="M70" s="124">
        <v>268000</v>
      </c>
      <c r="N70" s="122"/>
      <c r="O70" s="127">
        <f>P70+Q70</f>
        <v>718512.58</v>
      </c>
      <c r="P70" s="124">
        <f>Q70+R70</f>
        <v>359256.29</v>
      </c>
      <c r="Q70" s="109">
        <f>268000+91256.29</f>
        <v>359256.29</v>
      </c>
      <c r="R70" s="84"/>
      <c r="S70" s="84"/>
      <c r="T70" s="109">
        <f>18552.24+72107.68+23190.3+47175.33+23015.91+29757.33+62844.09+23190.03</f>
        <v>299832.91000000003</v>
      </c>
      <c r="U70" s="109"/>
      <c r="V70" s="113">
        <f>P70*(0.9)</f>
        <v>323330.66099999996</v>
      </c>
      <c r="W70" s="113"/>
      <c r="X70" s="109">
        <f>18552.24+72107.68+23190.3+47175.33+23015.91+29757.33+62844.09+23190.03</f>
        <v>299832.91000000003</v>
      </c>
      <c r="Y70" s="132">
        <f t="shared" si="9"/>
        <v>83.45933483864681</v>
      </c>
      <c r="Z70" s="31">
        <v>855303.11</v>
      </c>
      <c r="AA70" s="113">
        <f t="shared" si="10"/>
        <v>238.07602923250138</v>
      </c>
      <c r="AB70" s="114">
        <f t="shared" si="11"/>
        <v>496046.82</v>
      </c>
      <c r="AC70" s="283" t="s">
        <v>76</v>
      </c>
      <c r="AD70" s="99">
        <f t="shared" si="8"/>
        <v>677532.25</v>
      </c>
      <c r="AE70" s="31">
        <v>677532.25</v>
      </c>
      <c r="AF70" s="101"/>
      <c r="AG70" s="101"/>
      <c r="AH70" s="120">
        <f>137793.06+59519.8+68453.75+26303.73+50766.79+210414.76+41287.47</f>
        <v>594539.3599999999</v>
      </c>
      <c r="AI70" s="117">
        <f t="shared" si="6"/>
        <v>87.75071002155246</v>
      </c>
    </row>
    <row r="71" spans="1:35" ht="17.25" customHeight="1">
      <c r="A71" s="20"/>
      <c r="B71" s="20"/>
      <c r="C71" s="21" t="s">
        <v>74</v>
      </c>
      <c r="D71" s="121" t="s">
        <v>77</v>
      </c>
      <c r="E71" s="122"/>
      <c r="F71" s="122"/>
      <c r="G71" s="122"/>
      <c r="H71" s="122"/>
      <c r="I71" s="122"/>
      <c r="J71" s="122"/>
      <c r="K71" s="122"/>
      <c r="L71" s="122"/>
      <c r="M71" s="124">
        <v>170000</v>
      </c>
      <c r="N71" s="122"/>
      <c r="O71" s="127">
        <f>P71+Q71</f>
        <v>157487.42</v>
      </c>
      <c r="P71" s="124">
        <f>Q71+R71</f>
        <v>78743.71</v>
      </c>
      <c r="Q71" s="109">
        <f>170000-91256.29</f>
        <v>78743.71</v>
      </c>
      <c r="R71" s="84"/>
      <c r="S71" s="84"/>
      <c r="T71" s="109">
        <f>14766.18+14774.76+14766.18+14766.18+14766.18</f>
        <v>73839.48000000001</v>
      </c>
      <c r="U71" s="109"/>
      <c r="V71" s="113">
        <v>86161.65</v>
      </c>
      <c r="W71" s="113"/>
      <c r="X71" s="109">
        <f>14766.18+14774.76+14766.18+14766.18+14766.18</f>
        <v>73839.48000000001</v>
      </c>
      <c r="Y71" s="132">
        <f t="shared" si="9"/>
        <v>93.7719088927865</v>
      </c>
      <c r="Z71" s="31">
        <v>86161.65</v>
      </c>
      <c r="AA71" s="113">
        <f t="shared" si="10"/>
        <v>109.42035878167282</v>
      </c>
      <c r="AB71" s="114">
        <f t="shared" si="11"/>
        <v>7417.939999999988</v>
      </c>
      <c r="AC71" s="283"/>
      <c r="AD71" s="99">
        <f t="shared" si="8"/>
        <v>113761.65</v>
      </c>
      <c r="AE71" s="31">
        <v>113761.65</v>
      </c>
      <c r="AF71" s="101"/>
      <c r="AG71" s="101"/>
      <c r="AH71" s="120">
        <f>16168.43+16168.43+16168.43+12868.48+17001.2</f>
        <v>78374.97</v>
      </c>
      <c r="AI71" s="117">
        <f t="shared" si="6"/>
        <v>68.8940165688525</v>
      </c>
    </row>
    <row r="72" spans="1:35" ht="18.75">
      <c r="A72" s="20"/>
      <c r="B72" s="20"/>
      <c r="C72" s="21" t="s">
        <v>74</v>
      </c>
      <c r="D72" s="121" t="s">
        <v>32</v>
      </c>
      <c r="E72" s="122">
        <f>173.3</f>
        <v>173.3</v>
      </c>
      <c r="F72" s="122">
        <f>173.3</f>
        <v>173.3</v>
      </c>
      <c r="G72" s="122">
        <v>83.4</v>
      </c>
      <c r="H72" s="122">
        <f>F72-G72</f>
        <v>89.9</v>
      </c>
      <c r="I72" s="122">
        <f>666.764-14.616-20</f>
        <v>632.148</v>
      </c>
      <c r="J72" s="122">
        <v>166.1</v>
      </c>
      <c r="K72" s="122">
        <v>89.9</v>
      </c>
      <c r="L72" s="122"/>
      <c r="M72" s="124">
        <v>187900</v>
      </c>
      <c r="N72" s="122" t="s">
        <v>56</v>
      </c>
      <c r="O72" s="127">
        <f>P72+Q72</f>
        <v>375800</v>
      </c>
      <c r="P72" s="124">
        <f>Q72+R72</f>
        <v>187900</v>
      </c>
      <c r="Q72" s="109">
        <v>187900</v>
      </c>
      <c r="R72" s="84"/>
      <c r="S72" s="84"/>
      <c r="T72" s="109">
        <f>2357.42+16410.77+16575.26+17703.29+14605.33</f>
        <v>67652.06999999999</v>
      </c>
      <c r="U72" s="109"/>
      <c r="V72" s="113">
        <v>228297.61</v>
      </c>
      <c r="W72" s="113"/>
      <c r="X72" s="109">
        <f>2357.42+16410.77+16575.26+17703.29+14605.33</f>
        <v>67652.06999999999</v>
      </c>
      <c r="Y72" s="132">
        <f t="shared" si="9"/>
        <v>36.00429483767961</v>
      </c>
      <c r="Z72" s="31">
        <v>228297.61</v>
      </c>
      <c r="AA72" s="113">
        <f t="shared" si="10"/>
        <v>121.49952634379989</v>
      </c>
      <c r="AB72" s="114">
        <f t="shared" si="11"/>
        <v>40397.609999999986</v>
      </c>
      <c r="AC72" s="283"/>
      <c r="AD72" s="99">
        <f t="shared" si="8"/>
        <v>178224.83</v>
      </c>
      <c r="AE72" s="31">
        <v>178224.83</v>
      </c>
      <c r="AF72" s="101"/>
      <c r="AG72" s="101"/>
      <c r="AH72" s="120">
        <f>5315.4+17844.91+18270.16+17221.51+18274.33+14678.02</f>
        <v>91604.33</v>
      </c>
      <c r="AI72" s="117">
        <f t="shared" si="6"/>
        <v>51.39818621232519</v>
      </c>
    </row>
    <row r="73" spans="1:35" s="2" customFormat="1" ht="18.75">
      <c r="A73" s="66" t="s">
        <v>78</v>
      </c>
      <c r="B73" s="66" t="s">
        <v>24</v>
      </c>
      <c r="C73" s="67"/>
      <c r="D73" s="92" t="s">
        <v>79</v>
      </c>
      <c r="E73" s="122">
        <f>122.6+1881.1</f>
        <v>2003.6999999999998</v>
      </c>
      <c r="F73" s="122">
        <f>121.8+1840</f>
        <v>1961.8</v>
      </c>
      <c r="G73" s="122">
        <v>27.7</v>
      </c>
      <c r="H73" s="122">
        <f>F73-G73</f>
        <v>1934.1</v>
      </c>
      <c r="I73" s="122">
        <f>2239.093+25.0115+616.4775</f>
        <v>2880.582</v>
      </c>
      <c r="J73" s="122">
        <v>1332.8</v>
      </c>
      <c r="K73" s="122">
        <v>1934.1</v>
      </c>
      <c r="L73" s="122"/>
      <c r="M73" s="133">
        <f aca="true" t="shared" si="12" ref="M73:V73">M74+M75+M77</f>
        <v>2123000</v>
      </c>
      <c r="N73" s="133" t="e">
        <f t="shared" si="12"/>
        <v>#VALUE!</v>
      </c>
      <c r="O73" s="133">
        <f t="shared" si="12"/>
        <v>4246000</v>
      </c>
      <c r="P73" s="100">
        <f t="shared" si="12"/>
        <v>2123000</v>
      </c>
      <c r="Q73" s="133">
        <f t="shared" si="12"/>
        <v>2123000</v>
      </c>
      <c r="R73" s="133">
        <f t="shared" si="12"/>
        <v>0</v>
      </c>
      <c r="S73" s="133">
        <f t="shared" si="12"/>
        <v>0</v>
      </c>
      <c r="T73" s="133">
        <f t="shared" si="12"/>
        <v>1314272.7199999997</v>
      </c>
      <c r="U73" s="133">
        <f t="shared" si="12"/>
        <v>0</v>
      </c>
      <c r="V73" s="133">
        <f t="shared" si="12"/>
        <v>2480800</v>
      </c>
      <c r="W73" s="133">
        <f>W74</f>
        <v>1128700</v>
      </c>
      <c r="X73" s="133">
        <f>X74+X75+X77</f>
        <v>1314272.7199999997</v>
      </c>
      <c r="Y73" s="117">
        <f t="shared" si="9"/>
        <v>61.906392840320294</v>
      </c>
      <c r="Z73" s="100">
        <f>Z74+Z75+Z77</f>
        <v>2480800</v>
      </c>
      <c r="AA73" s="133">
        <f t="shared" si="10"/>
        <v>116.85350918511541</v>
      </c>
      <c r="AB73" s="134">
        <f t="shared" si="11"/>
        <v>357800</v>
      </c>
      <c r="AC73" s="284" t="s">
        <v>108</v>
      </c>
      <c r="AD73" s="99">
        <f t="shared" si="8"/>
        <v>2653600</v>
      </c>
      <c r="AE73" s="100">
        <f>AE74+AE75+AE76+AE77</f>
        <v>2653600</v>
      </c>
      <c r="AF73" s="101"/>
      <c r="AG73" s="101"/>
      <c r="AH73" s="120">
        <f>AH74+AH75+AH76+AH77</f>
        <v>2304087.25</v>
      </c>
      <c r="AI73" s="117">
        <f t="shared" si="6"/>
        <v>86.82873266505878</v>
      </c>
    </row>
    <row r="74" spans="1:37" ht="33.75" customHeight="1">
      <c r="A74" s="20"/>
      <c r="B74" s="20"/>
      <c r="C74" s="21" t="s">
        <v>109</v>
      </c>
      <c r="D74" s="129" t="s">
        <v>110</v>
      </c>
      <c r="E74" s="122"/>
      <c r="F74" s="122"/>
      <c r="G74" s="122"/>
      <c r="H74" s="122"/>
      <c r="I74" s="122"/>
      <c r="J74" s="122"/>
      <c r="K74" s="122"/>
      <c r="L74" s="122"/>
      <c r="M74" s="131">
        <f>1984500</f>
        <v>1984500</v>
      </c>
      <c r="N74" s="122"/>
      <c r="O74" s="127">
        <f>P74+Q74</f>
        <v>3969000</v>
      </c>
      <c r="P74" s="124">
        <f>Q74+R74</f>
        <v>1984500</v>
      </c>
      <c r="Q74" s="109">
        <f>1984500</f>
        <v>1984500</v>
      </c>
      <c r="R74" s="84"/>
      <c r="S74" s="84"/>
      <c r="T74" s="109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109"/>
      <c r="V74" s="22">
        <v>2415500</v>
      </c>
      <c r="W74" s="113">
        <v>1128700</v>
      </c>
      <c r="X74" s="109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128">
        <f t="shared" si="9"/>
        <v>64.4961723356009</v>
      </c>
      <c r="Z74" s="31">
        <v>2415500</v>
      </c>
      <c r="AA74" s="110">
        <f t="shared" si="10"/>
        <v>121.7183169564122</v>
      </c>
      <c r="AB74" s="143">
        <f t="shared" si="11"/>
        <v>431000</v>
      </c>
      <c r="AC74" s="284"/>
      <c r="AD74" s="99">
        <f t="shared" si="8"/>
        <v>1878100</v>
      </c>
      <c r="AE74" s="31">
        <f>1705300+172800</f>
        <v>1878100</v>
      </c>
      <c r="AF74" s="101"/>
      <c r="AG74" s="101"/>
      <c r="AH74" s="144">
        <f>1314692.7+17925+3943.5+11938.1+34638.95+5673.54+1211.52+18025+3965.5+120295.62+35018.31+6430.61+18961.9+5223+30000</f>
        <v>1627943.2500000002</v>
      </c>
      <c r="AI74" s="117">
        <f t="shared" si="6"/>
        <v>86.68032852350781</v>
      </c>
      <c r="AK74" s="73"/>
    </row>
    <row r="75" spans="1:35" s="1" customFormat="1" ht="17.25" customHeight="1">
      <c r="A75" s="20"/>
      <c r="B75" s="20"/>
      <c r="C75" s="21" t="s">
        <v>109</v>
      </c>
      <c r="D75" s="121" t="s">
        <v>111</v>
      </c>
      <c r="E75" s="122"/>
      <c r="F75" s="122"/>
      <c r="G75" s="122"/>
      <c r="H75" s="122"/>
      <c r="I75" s="122"/>
      <c r="J75" s="122"/>
      <c r="K75" s="122"/>
      <c r="L75" s="122"/>
      <c r="M75" s="131">
        <f>117815</f>
        <v>117815</v>
      </c>
      <c r="N75" s="122"/>
      <c r="O75" s="127">
        <f>P75+Q75</f>
        <v>235630</v>
      </c>
      <c r="P75" s="124">
        <f>Q75+R75</f>
        <v>117815</v>
      </c>
      <c r="Q75" s="109">
        <f>117815</f>
        <v>117815</v>
      </c>
      <c r="R75" s="84"/>
      <c r="S75" s="84"/>
      <c r="T75" s="109">
        <f>5874.96+10528.68+2678.52+4068.84+4824.24+994.56</f>
        <v>28969.8</v>
      </c>
      <c r="U75" s="109"/>
      <c r="V75" s="22">
        <v>36100</v>
      </c>
      <c r="W75" s="113"/>
      <c r="X75" s="109">
        <f>5874.96+10528.68+2678.52+4068.84+4824.24+994.56</f>
        <v>28969.8</v>
      </c>
      <c r="Y75" s="132">
        <f t="shared" si="9"/>
        <v>24.589228875779824</v>
      </c>
      <c r="Z75" s="31">
        <v>36100</v>
      </c>
      <c r="AA75" s="110">
        <f t="shared" si="10"/>
        <v>30.641259601918264</v>
      </c>
      <c r="AB75" s="143">
        <f t="shared" si="11"/>
        <v>-81715</v>
      </c>
      <c r="AC75" s="284"/>
      <c r="AD75" s="99">
        <f t="shared" si="8"/>
        <v>36100</v>
      </c>
      <c r="AE75" s="31">
        <f>Z75</f>
        <v>36100</v>
      </c>
      <c r="AF75" s="101"/>
      <c r="AG75" s="101"/>
      <c r="AH75" s="120">
        <f>10774.62+6345.33+3406.94+3854.95+5067.23+1768.3+1502.82+1437.48</f>
        <v>34157.67</v>
      </c>
      <c r="AI75" s="117">
        <f t="shared" si="6"/>
        <v>94.61958448753462</v>
      </c>
    </row>
    <row r="76" spans="1:35" s="1" customFormat="1" ht="17.25" customHeight="1">
      <c r="A76" s="20"/>
      <c r="B76" s="20"/>
      <c r="C76" s="21"/>
      <c r="D76" s="121" t="s">
        <v>112</v>
      </c>
      <c r="E76" s="122"/>
      <c r="F76" s="122"/>
      <c r="G76" s="122"/>
      <c r="H76" s="122"/>
      <c r="I76" s="122"/>
      <c r="J76" s="122"/>
      <c r="K76" s="122"/>
      <c r="L76" s="122"/>
      <c r="M76" s="131"/>
      <c r="N76" s="122"/>
      <c r="O76" s="127"/>
      <c r="P76" s="124"/>
      <c r="Q76" s="109"/>
      <c r="R76" s="84"/>
      <c r="S76" s="84"/>
      <c r="T76" s="109"/>
      <c r="U76" s="109"/>
      <c r="V76" s="22"/>
      <c r="W76" s="113"/>
      <c r="X76" s="109"/>
      <c r="Y76" s="132"/>
      <c r="Z76" s="31"/>
      <c r="AA76" s="110"/>
      <c r="AB76" s="143"/>
      <c r="AC76" s="284"/>
      <c r="AD76" s="99">
        <f t="shared" si="8"/>
        <v>29200</v>
      </c>
      <c r="AE76" s="31">
        <f>Z77</f>
        <v>29200</v>
      </c>
      <c r="AF76" s="101"/>
      <c r="AG76" s="101"/>
      <c r="AH76" s="120">
        <f>991.77+516.4+534.22+353.35+424.2+443.68+1494.28+706.25+727.33+847.59</f>
        <v>7039.07</v>
      </c>
      <c r="AI76" s="117">
        <f t="shared" si="6"/>
        <v>24.106404109589043</v>
      </c>
    </row>
    <row r="77" spans="1:35" s="1" customFormat="1" ht="36" customHeight="1">
      <c r="A77" s="20"/>
      <c r="B77" s="20"/>
      <c r="C77" s="21" t="s">
        <v>109</v>
      </c>
      <c r="D77" s="129" t="s">
        <v>113</v>
      </c>
      <c r="E77" s="122">
        <v>22463.7</v>
      </c>
      <c r="F77" s="122">
        <f>7156.8+15302.9</f>
        <v>22459.7</v>
      </c>
      <c r="G77" s="122">
        <f>1375.6+2420.3</f>
        <v>3795.9</v>
      </c>
      <c r="H77" s="122">
        <v>18663.8</v>
      </c>
      <c r="I77" s="122">
        <v>26758.69305</v>
      </c>
      <c r="J77" s="122" t="e">
        <f>#REF!+#REF!+#REF!+#REF!</f>
        <v>#REF!</v>
      </c>
      <c r="K77" s="122" t="e">
        <f>#REF!+#REF!+#REF!+#REF!</f>
        <v>#REF!</v>
      </c>
      <c r="L77" s="122"/>
      <c r="M77" s="131">
        <v>20685</v>
      </c>
      <c r="N77" s="122" t="s">
        <v>56</v>
      </c>
      <c r="O77" s="127">
        <f>P77+Q77</f>
        <v>41370</v>
      </c>
      <c r="P77" s="124">
        <f>Q77+R77</f>
        <v>20685</v>
      </c>
      <c r="Q77" s="109">
        <v>20685</v>
      </c>
      <c r="R77" s="84"/>
      <c r="S77" s="84"/>
      <c r="T77" s="109">
        <f>848.74+587.05+557.5+750.92+889.87+917.3+825</f>
        <v>5376.38</v>
      </c>
      <c r="U77" s="109"/>
      <c r="V77" s="22">
        <v>29200</v>
      </c>
      <c r="W77" s="113"/>
      <c r="X77" s="109">
        <f>848.74+587.05+557.5+750.92+889.87+917.3+825</f>
        <v>5376.38</v>
      </c>
      <c r="Y77" s="132">
        <f>X77/P77*100</f>
        <v>25.991684795745712</v>
      </c>
      <c r="Z77" s="31">
        <v>29200</v>
      </c>
      <c r="AA77" s="110">
        <f>Z77/P77*100</f>
        <v>141.16509547981627</v>
      </c>
      <c r="AB77" s="143">
        <f>Z77-P77</f>
        <v>8515</v>
      </c>
      <c r="AC77" s="284"/>
      <c r="AD77" s="99">
        <f t="shared" si="8"/>
        <v>710200</v>
      </c>
      <c r="AE77" s="31">
        <f>680402.75+29797.25</f>
        <v>710200</v>
      </c>
      <c r="AF77" s="101"/>
      <c r="AG77" s="101"/>
      <c r="AH77" s="120">
        <f>496919.07+14188.75+10157.5+2234.65+31558.82+6863.44+10957.5+2410.65+2140+29605.4+6768.48+17328+3815</f>
        <v>634947.26</v>
      </c>
      <c r="AI77" s="117">
        <f t="shared" si="6"/>
        <v>89.40400732188117</v>
      </c>
    </row>
    <row r="78" spans="1:35" s="2" customFormat="1" ht="18.75">
      <c r="A78" s="66"/>
      <c r="B78" s="66" t="s">
        <v>25</v>
      </c>
      <c r="C78" s="67"/>
      <c r="D78" s="126" t="s">
        <v>114</v>
      </c>
      <c r="E78" s="122"/>
      <c r="F78" s="122"/>
      <c r="G78" s="122"/>
      <c r="H78" s="122"/>
      <c r="I78" s="122"/>
      <c r="J78" s="122"/>
      <c r="K78" s="122"/>
      <c r="L78" s="122"/>
      <c r="M78" s="133"/>
      <c r="N78" s="145"/>
      <c r="O78" s="130"/>
      <c r="P78" s="100" t="e">
        <f>P79+P80+#REF!+P81+P82</f>
        <v>#REF!</v>
      </c>
      <c r="Q78" s="146"/>
      <c r="R78" s="101"/>
      <c r="S78" s="101"/>
      <c r="T78" s="146"/>
      <c r="U78" s="146"/>
      <c r="V78" s="133"/>
      <c r="W78" s="133"/>
      <c r="X78" s="146"/>
      <c r="Y78" s="147"/>
      <c r="Z78" s="100" t="e">
        <f>Z79+Z80+#REF!+Z81+Z82</f>
        <v>#REF!</v>
      </c>
      <c r="AA78" s="133"/>
      <c r="AB78" s="134"/>
      <c r="AC78" s="101"/>
      <c r="AD78" s="99">
        <f t="shared" si="8"/>
        <v>18949819.318199</v>
      </c>
      <c r="AE78" s="100">
        <f>AE79+AE80+AE81+AE82+AE83</f>
        <v>18949819.318199</v>
      </c>
      <c r="AF78" s="101"/>
      <c r="AG78" s="101"/>
      <c r="AH78" s="120">
        <f>AH79+AH80+AH81+AH82</f>
        <v>18203397.639999997</v>
      </c>
      <c r="AI78" s="117">
        <f t="shared" si="6"/>
        <v>96.06106176705254</v>
      </c>
    </row>
    <row r="79" spans="1:35" ht="18.75">
      <c r="A79" s="18" t="s">
        <v>115</v>
      </c>
      <c r="B79" s="18"/>
      <c r="C79" s="21" t="s">
        <v>116</v>
      </c>
      <c r="D79" s="129" t="s">
        <v>117</v>
      </c>
      <c r="E79" s="123"/>
      <c r="F79" s="123"/>
      <c r="G79" s="123"/>
      <c r="H79" s="123"/>
      <c r="I79" s="123"/>
      <c r="J79" s="123"/>
      <c r="K79" s="123"/>
      <c r="L79" s="123"/>
      <c r="M79" s="124">
        <v>5104000</v>
      </c>
      <c r="N79" s="137"/>
      <c r="O79" s="127">
        <f>P79+Q79</f>
        <v>8219357.757999999</v>
      </c>
      <c r="P79" s="124">
        <f>Q79+R79</f>
        <v>4109678.8789999997</v>
      </c>
      <c r="Q79" s="131">
        <f>5104000-994321.121</f>
        <v>4109678.8789999997</v>
      </c>
      <c r="R79" s="84"/>
      <c r="S79" s="84"/>
      <c r="T79" s="131">
        <f>307554.9+660163.29+188518.82+197590.73+136793.57+167192.17+227989.31+243188.57+455978.54</f>
        <v>2584969.9</v>
      </c>
      <c r="U79" s="131"/>
      <c r="V79" s="131">
        <v>0</v>
      </c>
      <c r="W79" s="131"/>
      <c r="X79" s="131">
        <f>307554.9+660163.29+188518.82+197590.73+136793.57+167192.17+227989.31+243188.57+455978.54+258387.82</f>
        <v>2843357.7199999997</v>
      </c>
      <c r="Y79" s="132">
        <f>X79/P79*100</f>
        <v>69.18685872342095</v>
      </c>
      <c r="Z79" s="31">
        <v>8044223</v>
      </c>
      <c r="AA79" s="131">
        <f>Z79/P79*100</f>
        <v>195.73848071451718</v>
      </c>
      <c r="AB79" s="148">
        <f>Z79-P79</f>
        <v>3934544.1210000003</v>
      </c>
      <c r="AC79" s="84" t="s">
        <v>118</v>
      </c>
      <c r="AD79" s="99">
        <f t="shared" si="8"/>
        <v>4442562.868199</v>
      </c>
      <c r="AE79" s="31">
        <f>P79+P79*8.1%</f>
        <v>4442562.868199</v>
      </c>
      <c r="AF79" s="101"/>
      <c r="AG79" s="101"/>
      <c r="AH79" s="120">
        <f>948917.94+163090.75+163090.74+179399.82+163090.75+228327.04+97854.45+195708.9+163090.75+146781.67+163090.75+652362.98+587126.69+577304.78</f>
        <v>4429238.01</v>
      </c>
      <c r="AI79" s="117">
        <f t="shared" si="6"/>
        <v>99.70006371109832</v>
      </c>
    </row>
    <row r="80" spans="1:35" ht="18.75">
      <c r="A80" s="18" t="s">
        <v>119</v>
      </c>
      <c r="B80" s="18"/>
      <c r="C80" s="21" t="s">
        <v>116</v>
      </c>
      <c r="D80" s="121" t="s">
        <v>120</v>
      </c>
      <c r="E80" s="123"/>
      <c r="F80" s="123"/>
      <c r="G80" s="123"/>
      <c r="H80" s="123"/>
      <c r="I80" s="123"/>
      <c r="J80" s="123"/>
      <c r="K80" s="123"/>
      <c r="L80" s="123"/>
      <c r="M80" s="124">
        <v>15799500</v>
      </c>
      <c r="N80" s="137"/>
      <c r="O80" s="127">
        <f>P80+Q80</f>
        <v>38043075.9</v>
      </c>
      <c r="P80" s="124">
        <f>Q80+R80</f>
        <v>19021537.95</v>
      </c>
      <c r="Q80" s="131">
        <f>15542500+3519037.95-40000</f>
        <v>19021537.95</v>
      </c>
      <c r="R80" s="84"/>
      <c r="S80" s="84"/>
      <c r="T80" s="13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131"/>
      <c r="V80" s="131">
        <f>41814854.5-3647031.42</f>
        <v>38167823.08</v>
      </c>
      <c r="W80" s="131"/>
      <c r="X80" s="13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132">
        <f>X80/P80*100</f>
        <v>83.42234409074163</v>
      </c>
      <c r="Z80" s="31">
        <f>13776827+8308804.5+7685000</f>
        <v>29770631.5</v>
      </c>
      <c r="AA80" s="131">
        <f>Z80/P80*100</f>
        <v>156.51011804752625</v>
      </c>
      <c r="AB80" s="148">
        <f>Z80-P80</f>
        <v>10749093.55</v>
      </c>
      <c r="AC80" s="84"/>
      <c r="AD80" s="99">
        <f t="shared" si="8"/>
        <v>12584142.45</v>
      </c>
      <c r="AE80" s="31">
        <v>12584142.45</v>
      </c>
      <c r="AF80" s="101"/>
      <c r="AG80" s="101"/>
      <c r="AH80" s="120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80" s="117">
        <f t="shared" si="6"/>
        <v>99.99976144580278</v>
      </c>
    </row>
    <row r="81" spans="1:35" ht="16.5" customHeight="1">
      <c r="A81" s="18"/>
      <c r="B81" s="18"/>
      <c r="C81" s="21"/>
      <c r="D81" s="121" t="s">
        <v>121</v>
      </c>
      <c r="E81" s="122"/>
      <c r="F81" s="122"/>
      <c r="G81" s="122"/>
      <c r="H81" s="122"/>
      <c r="I81" s="122"/>
      <c r="J81" s="122"/>
      <c r="K81" s="122"/>
      <c r="L81" s="122"/>
      <c r="M81" s="149"/>
      <c r="N81" s="145"/>
      <c r="O81" s="150"/>
      <c r="P81" s="124">
        <v>0</v>
      </c>
      <c r="Q81" s="131"/>
      <c r="R81" s="84"/>
      <c r="S81" s="84"/>
      <c r="T81" s="131"/>
      <c r="U81" s="131"/>
      <c r="V81" s="131"/>
      <c r="W81" s="131"/>
      <c r="X81" s="131"/>
      <c r="Y81" s="132"/>
      <c r="Z81" s="31">
        <v>400000</v>
      </c>
      <c r="AA81" s="110"/>
      <c r="AB81" s="143"/>
      <c r="AC81" s="101"/>
      <c r="AD81" s="99">
        <f t="shared" si="8"/>
        <v>200000</v>
      </c>
      <c r="AE81" s="31">
        <f>Z81-200000</f>
        <v>200000</v>
      </c>
      <c r="AF81" s="101"/>
      <c r="AG81" s="101"/>
      <c r="AH81" s="120">
        <v>99727.2</v>
      </c>
      <c r="AI81" s="117">
        <f t="shared" si="6"/>
        <v>49.8636</v>
      </c>
    </row>
    <row r="82" spans="1:35" ht="18.75">
      <c r="A82" s="18"/>
      <c r="B82" s="18"/>
      <c r="C82" s="21"/>
      <c r="D82" s="121" t="s">
        <v>122</v>
      </c>
      <c r="E82" s="122"/>
      <c r="F82" s="122"/>
      <c r="G82" s="122"/>
      <c r="H82" s="122"/>
      <c r="I82" s="122"/>
      <c r="J82" s="122"/>
      <c r="K82" s="122"/>
      <c r="L82" s="122"/>
      <c r="M82" s="149"/>
      <c r="N82" s="145"/>
      <c r="O82" s="150"/>
      <c r="P82" s="124">
        <v>0</v>
      </c>
      <c r="Q82" s="131"/>
      <c r="R82" s="84"/>
      <c r="S82" s="84"/>
      <c r="T82" s="131"/>
      <c r="U82" s="131"/>
      <c r="V82" s="131"/>
      <c r="W82" s="131"/>
      <c r="X82" s="131"/>
      <c r="Y82" s="132"/>
      <c r="Z82" s="31">
        <v>1723114</v>
      </c>
      <c r="AA82" s="110"/>
      <c r="AB82" s="143"/>
      <c r="AC82" s="101"/>
      <c r="AD82" s="99">
        <f t="shared" si="8"/>
        <v>1090324</v>
      </c>
      <c r="AE82" s="31">
        <f>1723114-632790</f>
        <v>1090324</v>
      </c>
      <c r="AF82" s="101"/>
      <c r="AG82" s="101"/>
      <c r="AH82" s="120">
        <v>1090320</v>
      </c>
      <c r="AI82" s="117">
        <f t="shared" si="6"/>
        <v>99.99963313657226</v>
      </c>
    </row>
    <row r="83" spans="1:35" ht="31.5">
      <c r="A83" s="18"/>
      <c r="B83" s="18"/>
      <c r="C83" s="21"/>
      <c r="D83" s="121" t="s">
        <v>245</v>
      </c>
      <c r="E83" s="122"/>
      <c r="F83" s="122"/>
      <c r="G83" s="122"/>
      <c r="H83" s="122"/>
      <c r="I83" s="122"/>
      <c r="J83" s="122"/>
      <c r="K83" s="122"/>
      <c r="L83" s="122"/>
      <c r="M83" s="149"/>
      <c r="N83" s="145"/>
      <c r="O83" s="150"/>
      <c r="P83" s="124"/>
      <c r="Q83" s="131"/>
      <c r="R83" s="84"/>
      <c r="S83" s="84"/>
      <c r="T83" s="131"/>
      <c r="U83" s="131"/>
      <c r="V83" s="131"/>
      <c r="W83" s="131"/>
      <c r="X83" s="131"/>
      <c r="Y83" s="132"/>
      <c r="Z83" s="31"/>
      <c r="AA83" s="110"/>
      <c r="AB83" s="143"/>
      <c r="AC83" s="101"/>
      <c r="AD83" s="99">
        <f>AE83</f>
        <v>632790</v>
      </c>
      <c r="AE83" s="31">
        <v>632790</v>
      </c>
      <c r="AF83" s="101"/>
      <c r="AG83" s="101"/>
      <c r="AH83" s="120"/>
      <c r="AI83" s="117"/>
    </row>
    <row r="84" spans="1:35" s="2" customFormat="1" ht="18.75">
      <c r="A84" s="66" t="s">
        <v>123</v>
      </c>
      <c r="B84" s="66" t="s">
        <v>26</v>
      </c>
      <c r="C84" s="67" t="s">
        <v>125</v>
      </c>
      <c r="D84" s="92" t="s">
        <v>126</v>
      </c>
      <c r="E84" s="122"/>
      <c r="F84" s="122"/>
      <c r="G84" s="122"/>
      <c r="H84" s="122"/>
      <c r="I84" s="122"/>
      <c r="J84" s="122"/>
      <c r="K84" s="122"/>
      <c r="L84" s="122"/>
      <c r="M84" s="100">
        <v>0</v>
      </c>
      <c r="N84" s="145"/>
      <c r="O84" s="130">
        <f>P84+Q84</f>
        <v>514000</v>
      </c>
      <c r="P84" s="100">
        <f>Q84+R84</f>
        <v>257000</v>
      </c>
      <c r="Q84" s="133">
        <v>257000</v>
      </c>
      <c r="R84" s="101"/>
      <c r="S84" s="101"/>
      <c r="T84" s="133">
        <f>23700.62+50875.25+50875.25+50775.25</f>
        <v>176226.37</v>
      </c>
      <c r="U84" s="133"/>
      <c r="V84" s="133">
        <f>P84*(0.9)</f>
        <v>231300</v>
      </c>
      <c r="W84" s="133"/>
      <c r="X84" s="133">
        <f>23700.62+50875.25+50875.25+50775.25</f>
        <v>176226.37</v>
      </c>
      <c r="Y84" s="117">
        <f>X84/P84*100</f>
        <v>68.57057198443579</v>
      </c>
      <c r="Z84" s="135">
        <v>346347.28</v>
      </c>
      <c r="AA84" s="133">
        <f>Z84/P84*100</f>
        <v>134.7654785992218</v>
      </c>
      <c r="AB84" s="134">
        <f>Z84-P84</f>
        <v>89347.28000000003</v>
      </c>
      <c r="AC84" s="101"/>
      <c r="AD84" s="99">
        <f aca="true" t="shared" si="13" ref="AD84:AD93">AE84+AF84</f>
        <v>442817</v>
      </c>
      <c r="AE84" s="135">
        <f>AE85+AE86</f>
        <v>442817</v>
      </c>
      <c r="AF84" s="101"/>
      <c r="AG84" s="101"/>
      <c r="AH84" s="120">
        <f>AH85+AH86</f>
        <v>442817</v>
      </c>
      <c r="AI84" s="117">
        <f t="shared" si="6"/>
        <v>100</v>
      </c>
    </row>
    <row r="85" spans="1:35" s="2" customFormat="1" ht="31.5">
      <c r="A85" s="66"/>
      <c r="B85" s="66"/>
      <c r="C85" s="67"/>
      <c r="D85" s="121" t="s">
        <v>198</v>
      </c>
      <c r="E85" s="122"/>
      <c r="F85" s="122"/>
      <c r="G85" s="122"/>
      <c r="H85" s="122"/>
      <c r="I85" s="122"/>
      <c r="J85" s="122"/>
      <c r="K85" s="122"/>
      <c r="L85" s="122"/>
      <c r="M85" s="100"/>
      <c r="N85" s="145"/>
      <c r="O85" s="130"/>
      <c r="P85" s="100"/>
      <c r="Q85" s="133"/>
      <c r="R85" s="101"/>
      <c r="S85" s="101"/>
      <c r="T85" s="133"/>
      <c r="U85" s="133"/>
      <c r="V85" s="133"/>
      <c r="W85" s="133"/>
      <c r="X85" s="133"/>
      <c r="Y85" s="117"/>
      <c r="Z85" s="135"/>
      <c r="AA85" s="133"/>
      <c r="AB85" s="134"/>
      <c r="AC85" s="101"/>
      <c r="AD85" s="151">
        <f t="shared" si="13"/>
        <v>427817</v>
      </c>
      <c r="AE85" s="31">
        <f>AH85</f>
        <v>427817</v>
      </c>
      <c r="AF85" s="101"/>
      <c r="AG85" s="101"/>
      <c r="AH85" s="152">
        <f>250800+27017+150000</f>
        <v>427817</v>
      </c>
      <c r="AI85" s="117">
        <f aca="true" t="shared" si="14" ref="AI85:AI113">AH85/AE85*100</f>
        <v>100</v>
      </c>
    </row>
    <row r="86" spans="1:35" s="2" customFormat="1" ht="47.25">
      <c r="A86" s="66"/>
      <c r="B86" s="66"/>
      <c r="C86" s="67"/>
      <c r="D86" s="121" t="s">
        <v>220</v>
      </c>
      <c r="E86" s="122"/>
      <c r="F86" s="122"/>
      <c r="G86" s="122"/>
      <c r="H86" s="122"/>
      <c r="I86" s="122"/>
      <c r="J86" s="122"/>
      <c r="K86" s="122"/>
      <c r="L86" s="122"/>
      <c r="M86" s="100"/>
      <c r="N86" s="145"/>
      <c r="O86" s="130"/>
      <c r="P86" s="100"/>
      <c r="Q86" s="133"/>
      <c r="R86" s="101"/>
      <c r="S86" s="101"/>
      <c r="T86" s="133"/>
      <c r="U86" s="133"/>
      <c r="V86" s="133"/>
      <c r="W86" s="133"/>
      <c r="X86" s="133"/>
      <c r="Y86" s="117"/>
      <c r="Z86" s="135"/>
      <c r="AA86" s="133"/>
      <c r="AB86" s="134"/>
      <c r="AC86" s="101"/>
      <c r="AD86" s="151">
        <f t="shared" si="13"/>
        <v>15000</v>
      </c>
      <c r="AE86" s="31">
        <v>15000</v>
      </c>
      <c r="AF86" s="101"/>
      <c r="AG86" s="101"/>
      <c r="AH86" s="152">
        <v>15000</v>
      </c>
      <c r="AI86" s="117">
        <f t="shared" si="14"/>
        <v>100</v>
      </c>
    </row>
    <row r="87" spans="1:35" s="2" customFormat="1" ht="16.5" customHeight="1">
      <c r="A87" s="66" t="s">
        <v>127</v>
      </c>
      <c r="B87" s="66" t="s">
        <v>27</v>
      </c>
      <c r="C87" s="67" t="s">
        <v>129</v>
      </c>
      <c r="D87" s="92" t="s">
        <v>130</v>
      </c>
      <c r="E87" s="122"/>
      <c r="F87" s="122"/>
      <c r="G87" s="122"/>
      <c r="H87" s="122"/>
      <c r="I87" s="122"/>
      <c r="J87" s="122"/>
      <c r="K87" s="122"/>
      <c r="L87" s="122"/>
      <c r="M87" s="133">
        <f>L87</f>
        <v>0</v>
      </c>
      <c r="N87" s="145"/>
      <c r="O87" s="130">
        <f>O88</f>
        <v>1930883.46</v>
      </c>
      <c r="P87" s="100">
        <f>P88</f>
        <v>1930883.46</v>
      </c>
      <c r="Q87" s="133">
        <f>P87</f>
        <v>1930883.46</v>
      </c>
      <c r="R87" s="101"/>
      <c r="S87" s="101"/>
      <c r="T87" s="133">
        <f>T88</f>
        <v>859642.65</v>
      </c>
      <c r="U87" s="133"/>
      <c r="V87" s="133">
        <f>P87*(0.9)</f>
        <v>1737795.114</v>
      </c>
      <c r="W87" s="133"/>
      <c r="X87" s="133">
        <f>X88</f>
        <v>859642.65</v>
      </c>
      <c r="Y87" s="117">
        <f>X87/P87*100</f>
        <v>44.52069054442053</v>
      </c>
      <c r="Z87" s="135">
        <f>Z88</f>
        <v>17397438</v>
      </c>
      <c r="AA87" s="133">
        <f aca="true" t="shared" si="15" ref="AA87:AA93">Z87/P87*100</f>
        <v>901.0092198935714</v>
      </c>
      <c r="AB87" s="134">
        <f aca="true" t="shared" si="16" ref="AB87:AB93">Z87-P87</f>
        <v>15466554.54</v>
      </c>
      <c r="AC87" s="101"/>
      <c r="AD87" s="99">
        <f t="shared" si="13"/>
        <v>7573700</v>
      </c>
      <c r="AE87" s="135">
        <f>AE88+AE95+AE94</f>
        <v>7573700</v>
      </c>
      <c r="AF87" s="101"/>
      <c r="AG87" s="101"/>
      <c r="AH87" s="120">
        <f>AH88+AH95+AH94</f>
        <v>6896299.710000001</v>
      </c>
      <c r="AI87" s="117">
        <f t="shared" si="14"/>
        <v>91.05588695089587</v>
      </c>
    </row>
    <row r="88" spans="1:37" ht="35.25" customHeight="1">
      <c r="A88" s="18"/>
      <c r="B88" s="18"/>
      <c r="C88" s="21"/>
      <c r="D88" s="121" t="s">
        <v>218</v>
      </c>
      <c r="E88" s="122"/>
      <c r="F88" s="122"/>
      <c r="G88" s="122"/>
      <c r="H88" s="122"/>
      <c r="I88" s="122"/>
      <c r="J88" s="122"/>
      <c r="K88" s="122"/>
      <c r="L88" s="122"/>
      <c r="M88" s="100">
        <v>0</v>
      </c>
      <c r="N88" s="145"/>
      <c r="O88" s="130">
        <f>P88</f>
        <v>1930883.46</v>
      </c>
      <c r="P88" s="124">
        <v>1930883.46</v>
      </c>
      <c r="Q88" s="131">
        <v>1589311.46</v>
      </c>
      <c r="R88" s="84"/>
      <c r="S88" s="84"/>
      <c r="T88" s="113">
        <f>201636.21+106959.16+388332+795.26+161920.02</f>
        <v>859642.65</v>
      </c>
      <c r="U88" s="113"/>
      <c r="V88" s="113">
        <f>V89+V90</f>
        <v>17397438</v>
      </c>
      <c r="W88" s="113">
        <v>10385400</v>
      </c>
      <c r="X88" s="131">
        <f>201636.21+106959.16+388332+795.26+161920.02</f>
        <v>859642.65</v>
      </c>
      <c r="Y88" s="132">
        <f>X88/P88*100</f>
        <v>44.52069054442053</v>
      </c>
      <c r="Z88" s="31">
        <v>17397438</v>
      </c>
      <c r="AA88" s="113">
        <f t="shared" si="15"/>
        <v>901.0092198935714</v>
      </c>
      <c r="AB88" s="114">
        <f t="shared" si="16"/>
        <v>15466554.54</v>
      </c>
      <c r="AC88" s="84" t="s">
        <v>131</v>
      </c>
      <c r="AD88" s="151">
        <f t="shared" si="13"/>
        <v>7466216</v>
      </c>
      <c r="AE88" s="31">
        <f>7066216+400000</f>
        <v>7466216</v>
      </c>
      <c r="AF88" s="101"/>
      <c r="AG88" s="101"/>
      <c r="AH88" s="152">
        <f>5530620.2+275969.32+322560.66+85699.69+244556.47+1205.16+42516+192383.29+160385.38+8073.84</f>
        <v>6863970.010000001</v>
      </c>
      <c r="AI88" s="132">
        <f t="shared" si="14"/>
        <v>91.93371863337467</v>
      </c>
      <c r="AK88" s="25"/>
    </row>
    <row r="89" spans="1:35" ht="17.25" hidden="1">
      <c r="A89" s="18"/>
      <c r="B89" s="18"/>
      <c r="C89" s="21"/>
      <c r="D89" s="121" t="s">
        <v>132</v>
      </c>
      <c r="E89" s="122"/>
      <c r="F89" s="122"/>
      <c r="G89" s="122"/>
      <c r="H89" s="122"/>
      <c r="I89" s="122"/>
      <c r="J89" s="122"/>
      <c r="K89" s="122"/>
      <c r="L89" s="122"/>
      <c r="M89" s="100">
        <v>0</v>
      </c>
      <c r="N89" s="145"/>
      <c r="O89" s="127"/>
      <c r="P89" s="23">
        <v>1145765.29</v>
      </c>
      <c r="Q89" s="131"/>
      <c r="R89" s="101"/>
      <c r="S89" s="101"/>
      <c r="T89" s="110"/>
      <c r="U89" s="110"/>
      <c r="V89" s="131">
        <v>12523990</v>
      </c>
      <c r="W89" s="131"/>
      <c r="X89" s="133"/>
      <c r="Y89" s="117"/>
      <c r="Z89" s="124">
        <v>12523990</v>
      </c>
      <c r="AA89" s="110">
        <f t="shared" si="15"/>
        <v>1093.0676735721327</v>
      </c>
      <c r="AB89" s="143">
        <f t="shared" si="16"/>
        <v>11378224.71</v>
      </c>
      <c r="AC89" s="101"/>
      <c r="AD89" s="151">
        <f t="shared" si="13"/>
        <v>0</v>
      </c>
      <c r="AE89" s="31"/>
      <c r="AF89" s="101"/>
      <c r="AG89" s="101"/>
      <c r="AH89" s="152"/>
      <c r="AI89" s="132" t="e">
        <f t="shared" si="14"/>
        <v>#DIV/0!</v>
      </c>
    </row>
    <row r="90" spans="1:35" ht="17.25" hidden="1">
      <c r="A90" s="18"/>
      <c r="B90" s="18"/>
      <c r="C90" s="21"/>
      <c r="D90" s="121" t="s">
        <v>133</v>
      </c>
      <c r="E90" s="122"/>
      <c r="F90" s="122"/>
      <c r="G90" s="122"/>
      <c r="H90" s="122"/>
      <c r="I90" s="122"/>
      <c r="J90" s="122"/>
      <c r="K90" s="122"/>
      <c r="L90" s="122"/>
      <c r="M90" s="100">
        <v>0</v>
      </c>
      <c r="N90" s="145"/>
      <c r="O90" s="127"/>
      <c r="P90" s="23">
        <v>443546.17</v>
      </c>
      <c r="Q90" s="131"/>
      <c r="R90" s="101"/>
      <c r="S90" s="101"/>
      <c r="T90" s="110"/>
      <c r="U90" s="110"/>
      <c r="V90" s="131">
        <v>4873448</v>
      </c>
      <c r="W90" s="131"/>
      <c r="X90" s="133"/>
      <c r="Y90" s="117"/>
      <c r="Z90" s="124">
        <v>4873448</v>
      </c>
      <c r="AA90" s="110">
        <f t="shared" si="15"/>
        <v>1098.746495770666</v>
      </c>
      <c r="AB90" s="143">
        <f t="shared" si="16"/>
        <v>4429901.83</v>
      </c>
      <c r="AC90" s="101"/>
      <c r="AD90" s="151">
        <f t="shared" si="13"/>
        <v>0</v>
      </c>
      <c r="AE90" s="31"/>
      <c r="AF90" s="101"/>
      <c r="AG90" s="101"/>
      <c r="AH90" s="152"/>
      <c r="AI90" s="132" t="e">
        <f t="shared" si="14"/>
        <v>#DIV/0!</v>
      </c>
    </row>
    <row r="91" spans="1:35" ht="17.25" hidden="1">
      <c r="A91" s="18" t="s">
        <v>134</v>
      </c>
      <c r="B91" s="18"/>
      <c r="C91" s="24"/>
      <c r="D91" s="153" t="s">
        <v>135</v>
      </c>
      <c r="E91" s="154">
        <f>20554.4+1254+42.4</f>
        <v>21850.800000000003</v>
      </c>
      <c r="F91" s="154">
        <f>20118.2+1254+42.4</f>
        <v>21414.600000000002</v>
      </c>
      <c r="G91" s="154">
        <f>166.5+18.4</f>
        <v>184.9</v>
      </c>
      <c r="H91" s="154">
        <f>19951.7+1254+24</f>
        <v>21229.7</v>
      </c>
      <c r="I91" s="155">
        <f>25447.6+198</f>
        <v>25645.6</v>
      </c>
      <c r="J91" s="155">
        <v>10120.4</v>
      </c>
      <c r="K91" s="154">
        <v>21229.7</v>
      </c>
      <c r="L91" s="155"/>
      <c r="M91" s="110">
        <f>M92+M93</f>
        <v>25052300</v>
      </c>
      <c r="N91" s="155"/>
      <c r="O91" s="150">
        <f>P91+Q91</f>
        <v>18162154.96</v>
      </c>
      <c r="P91" s="149"/>
      <c r="Q91" s="110">
        <f>Q92+Q93</f>
        <v>18162154.96</v>
      </c>
      <c r="R91" s="101"/>
      <c r="S91" s="101"/>
      <c r="T91" s="110">
        <f>T92+T93</f>
        <v>18162151.85</v>
      </c>
      <c r="U91" s="110"/>
      <c r="V91" s="110">
        <v>0</v>
      </c>
      <c r="W91" s="110"/>
      <c r="X91" s="110">
        <f>X92+X93</f>
        <v>18162151.85</v>
      </c>
      <c r="Y91" s="117" t="e">
        <f>X91/P91*100</f>
        <v>#DIV/0!</v>
      </c>
      <c r="Z91" s="149">
        <f>Z92+Z93</f>
        <v>0</v>
      </c>
      <c r="AA91" s="110" t="e">
        <f t="shared" si="15"/>
        <v>#DIV/0!</v>
      </c>
      <c r="AB91" s="143">
        <f t="shared" si="16"/>
        <v>0</v>
      </c>
      <c r="AC91" s="101"/>
      <c r="AD91" s="151">
        <f t="shared" si="13"/>
        <v>0</v>
      </c>
      <c r="AE91" s="31"/>
      <c r="AF91" s="101"/>
      <c r="AG91" s="101"/>
      <c r="AH91" s="152"/>
      <c r="AI91" s="132" t="e">
        <f t="shared" si="14"/>
        <v>#DIV/0!</v>
      </c>
    </row>
    <row r="92" spans="1:35" ht="46.5" hidden="1">
      <c r="A92" s="20"/>
      <c r="B92" s="20"/>
      <c r="C92" s="270" t="s">
        <v>136</v>
      </c>
      <c r="D92" s="156" t="s">
        <v>82</v>
      </c>
      <c r="E92" s="122"/>
      <c r="F92" s="122"/>
      <c r="G92" s="122"/>
      <c r="H92" s="122"/>
      <c r="I92" s="157"/>
      <c r="J92" s="157"/>
      <c r="K92" s="157"/>
      <c r="L92" s="158"/>
      <c r="M92" s="159">
        <v>7232100</v>
      </c>
      <c r="N92" s="145"/>
      <c r="O92" s="127">
        <f>P92+Q92</f>
        <v>13707388.44</v>
      </c>
      <c r="P92" s="124">
        <f>Q92+R92</f>
        <v>6853694.22</v>
      </c>
      <c r="Q92" s="109">
        <f>7232100-378405.78</f>
        <v>6853694.22</v>
      </c>
      <c r="R92" s="101"/>
      <c r="S92" s="101"/>
      <c r="T92" s="109">
        <f>1341065+264830+1439254.25+119395.75+507870+59340+35936.5+335196.18+472850.38+220509.52+38684.18+107682.7+71415+175089.2+268474.5+377603.92+171362.7+194439.28+227897.54+71415+353382.62</f>
        <v>6853694.220000001</v>
      </c>
      <c r="U92" s="109"/>
      <c r="V92" s="110">
        <v>0</v>
      </c>
      <c r="W92" s="110"/>
      <c r="X92" s="109">
        <f>1341065+264830+1439254.25+119395.75+507870+59340+35936.5+335196.18+472850.38+220509.52+38684.18+107682.7+71415+175089.2+268474.5+377603.92+171362.7+194439.28+227897.54+71415+353382.62</f>
        <v>6853694.220000001</v>
      </c>
      <c r="Y92" s="128">
        <f>X92/P92*100</f>
        <v>100.00000000000003</v>
      </c>
      <c r="Z92" s="31">
        <v>0</v>
      </c>
      <c r="AA92" s="110">
        <f t="shared" si="15"/>
        <v>0</v>
      </c>
      <c r="AB92" s="143">
        <f t="shared" si="16"/>
        <v>-6853694.22</v>
      </c>
      <c r="AC92" s="101"/>
      <c r="AD92" s="151">
        <f t="shared" si="13"/>
        <v>0</v>
      </c>
      <c r="AE92" s="31"/>
      <c r="AF92" s="101"/>
      <c r="AG92" s="101"/>
      <c r="AH92" s="152"/>
      <c r="AI92" s="132" t="e">
        <f t="shared" si="14"/>
        <v>#DIV/0!</v>
      </c>
    </row>
    <row r="93" spans="1:35" ht="46.5" hidden="1">
      <c r="A93" s="20"/>
      <c r="B93" s="20"/>
      <c r="C93" s="270"/>
      <c r="D93" s="160" t="s">
        <v>83</v>
      </c>
      <c r="E93" s="122"/>
      <c r="F93" s="122"/>
      <c r="G93" s="122"/>
      <c r="H93" s="122"/>
      <c r="I93" s="157"/>
      <c r="J93" s="157"/>
      <c r="K93" s="157"/>
      <c r="L93" s="158"/>
      <c r="M93" s="159">
        <v>17820200</v>
      </c>
      <c r="N93" s="145"/>
      <c r="O93" s="127">
        <f>P93+Q93</f>
        <v>22616921.48</v>
      </c>
      <c r="P93" s="124">
        <f>Q93+R93</f>
        <v>11308460.74</v>
      </c>
      <c r="Q93" s="109">
        <f>17820200-6511739.26</f>
        <v>11308460.74</v>
      </c>
      <c r="R93" s="101"/>
      <c r="S93" s="101"/>
      <c r="T93" s="109">
        <f>485919.56+3050150.33+4015340.79+1228787.45+1461675.45+214759.4+851824.65</f>
        <v>11308457.629999999</v>
      </c>
      <c r="U93" s="109"/>
      <c r="V93" s="110">
        <v>0</v>
      </c>
      <c r="W93" s="110"/>
      <c r="X93" s="109">
        <f>485919.56+3050150.33+4015340.79+1228787.45+1461675.45+214759.4+851824.65</f>
        <v>11308457.629999999</v>
      </c>
      <c r="Y93" s="128">
        <f>X93/P93*100</f>
        <v>99.99997249846754</v>
      </c>
      <c r="Z93" s="31">
        <v>0</v>
      </c>
      <c r="AA93" s="110">
        <f t="shared" si="15"/>
        <v>0</v>
      </c>
      <c r="AB93" s="143">
        <f t="shared" si="16"/>
        <v>-11308460.74</v>
      </c>
      <c r="AC93" s="101"/>
      <c r="AD93" s="151">
        <f t="shared" si="13"/>
        <v>0</v>
      </c>
      <c r="AE93" s="31"/>
      <c r="AF93" s="101"/>
      <c r="AG93" s="101"/>
      <c r="AH93" s="152"/>
      <c r="AI93" s="132" t="e">
        <f t="shared" si="14"/>
        <v>#DIV/0!</v>
      </c>
    </row>
    <row r="94" spans="1:35" ht="18.75">
      <c r="A94" s="20"/>
      <c r="B94" s="20"/>
      <c r="C94" s="70"/>
      <c r="D94" s="160" t="s">
        <v>227</v>
      </c>
      <c r="E94" s="122"/>
      <c r="F94" s="122"/>
      <c r="G94" s="122"/>
      <c r="H94" s="122"/>
      <c r="I94" s="157"/>
      <c r="J94" s="157"/>
      <c r="K94" s="157"/>
      <c r="L94" s="158"/>
      <c r="M94" s="159"/>
      <c r="N94" s="145"/>
      <c r="O94" s="127"/>
      <c r="P94" s="124"/>
      <c r="Q94" s="109"/>
      <c r="R94" s="101"/>
      <c r="S94" s="101"/>
      <c r="T94" s="109"/>
      <c r="U94" s="109"/>
      <c r="V94" s="110"/>
      <c r="W94" s="110"/>
      <c r="X94" s="109"/>
      <c r="Y94" s="128"/>
      <c r="Z94" s="31"/>
      <c r="AA94" s="110"/>
      <c r="AB94" s="143"/>
      <c r="AC94" s="101"/>
      <c r="AD94" s="151">
        <f>AE94</f>
        <v>75154.3</v>
      </c>
      <c r="AE94" s="31">
        <v>75154.3</v>
      </c>
      <c r="AF94" s="101"/>
      <c r="AG94" s="101"/>
      <c r="AH94" s="152"/>
      <c r="AI94" s="132"/>
    </row>
    <row r="95" spans="1:35" ht="33.75" customHeight="1">
      <c r="A95" s="20"/>
      <c r="B95" s="20"/>
      <c r="C95" s="70"/>
      <c r="D95" s="160" t="s">
        <v>199</v>
      </c>
      <c r="E95" s="122"/>
      <c r="F95" s="122"/>
      <c r="G95" s="122"/>
      <c r="H95" s="122"/>
      <c r="I95" s="157"/>
      <c r="J95" s="157"/>
      <c r="K95" s="157"/>
      <c r="L95" s="158"/>
      <c r="M95" s="159"/>
      <c r="N95" s="145"/>
      <c r="O95" s="127"/>
      <c r="P95" s="124"/>
      <c r="Q95" s="109"/>
      <c r="R95" s="101"/>
      <c r="S95" s="101"/>
      <c r="T95" s="109"/>
      <c r="U95" s="109"/>
      <c r="V95" s="110"/>
      <c r="W95" s="110"/>
      <c r="X95" s="109"/>
      <c r="Y95" s="128"/>
      <c r="Z95" s="31"/>
      <c r="AA95" s="110"/>
      <c r="AB95" s="143"/>
      <c r="AC95" s="101"/>
      <c r="AD95" s="151">
        <f>AE95</f>
        <v>32329.7</v>
      </c>
      <c r="AE95" s="31">
        <v>32329.7</v>
      </c>
      <c r="AF95" s="101"/>
      <c r="AG95" s="101"/>
      <c r="AH95" s="152">
        <v>32329.7</v>
      </c>
      <c r="AI95" s="132">
        <f t="shared" si="14"/>
        <v>100</v>
      </c>
    </row>
    <row r="96" spans="1:35" s="2" customFormat="1" ht="18.75">
      <c r="A96" s="66"/>
      <c r="B96" s="66" t="s">
        <v>28</v>
      </c>
      <c r="C96" s="67" t="s">
        <v>85</v>
      </c>
      <c r="D96" s="92" t="s">
        <v>86</v>
      </c>
      <c r="E96" s="122"/>
      <c r="F96" s="122"/>
      <c r="G96" s="122"/>
      <c r="H96" s="122"/>
      <c r="I96" s="122"/>
      <c r="J96" s="122"/>
      <c r="K96" s="122"/>
      <c r="L96" s="122"/>
      <c r="M96" s="100">
        <v>0</v>
      </c>
      <c r="N96" s="100">
        <v>0</v>
      </c>
      <c r="O96" s="100">
        <v>0</v>
      </c>
      <c r="P96" s="100">
        <v>0</v>
      </c>
      <c r="Q96" s="100">
        <v>0</v>
      </c>
      <c r="R96" s="100">
        <v>0</v>
      </c>
      <c r="S96" s="100">
        <v>0</v>
      </c>
      <c r="T96" s="100">
        <v>0</v>
      </c>
      <c r="U96" s="100"/>
      <c r="V96" s="133">
        <v>212856.4</v>
      </c>
      <c r="W96" s="133"/>
      <c r="X96" s="100">
        <v>0</v>
      </c>
      <c r="Y96" s="100">
        <v>0</v>
      </c>
      <c r="Z96" s="135" t="e">
        <f>Z97+#REF!</f>
        <v>#REF!</v>
      </c>
      <c r="AA96" s="133"/>
      <c r="AB96" s="134" t="e">
        <f aca="true" t="shared" si="17" ref="AB96:AB109">Z96-P96</f>
        <v>#REF!</v>
      </c>
      <c r="AC96" s="101"/>
      <c r="AD96" s="99">
        <f aca="true" t="shared" si="18" ref="AD96:AD109">AE96+AF96</f>
        <v>100000</v>
      </c>
      <c r="AE96" s="135">
        <f>AE97</f>
        <v>100000</v>
      </c>
      <c r="AF96" s="101"/>
      <c r="AG96" s="101"/>
      <c r="AH96" s="120">
        <f>AH97</f>
        <v>0</v>
      </c>
      <c r="AI96" s="117">
        <f t="shared" si="14"/>
        <v>0</v>
      </c>
    </row>
    <row r="97" spans="1:35" ht="18.75">
      <c r="A97" s="20"/>
      <c r="B97" s="20"/>
      <c r="C97" s="21"/>
      <c r="D97" s="121" t="s">
        <v>141</v>
      </c>
      <c r="E97" s="154"/>
      <c r="F97" s="154"/>
      <c r="G97" s="154"/>
      <c r="H97" s="154"/>
      <c r="I97" s="154"/>
      <c r="J97" s="154"/>
      <c r="K97" s="154"/>
      <c r="L97" s="154"/>
      <c r="M97" s="124">
        <v>0</v>
      </c>
      <c r="N97" s="124">
        <v>0</v>
      </c>
      <c r="O97" s="124">
        <v>0</v>
      </c>
      <c r="P97" s="124">
        <v>0</v>
      </c>
      <c r="Q97" s="124">
        <v>0</v>
      </c>
      <c r="R97" s="124">
        <v>0</v>
      </c>
      <c r="S97" s="124">
        <v>0</v>
      </c>
      <c r="T97" s="124">
        <v>0</v>
      </c>
      <c r="U97" s="124"/>
      <c r="V97" s="110">
        <f>P97*(0.9)</f>
        <v>0</v>
      </c>
      <c r="W97" s="110"/>
      <c r="X97" s="124">
        <v>0</v>
      </c>
      <c r="Y97" s="124">
        <v>0</v>
      </c>
      <c r="Z97" s="31">
        <v>100000</v>
      </c>
      <c r="AA97" s="110" t="e">
        <f aca="true" t="shared" si="19" ref="AA97:AA109">Z97/P97*100</f>
        <v>#DIV/0!</v>
      </c>
      <c r="AB97" s="143">
        <f t="shared" si="17"/>
        <v>100000</v>
      </c>
      <c r="AC97" s="101"/>
      <c r="AD97" s="151">
        <f t="shared" si="18"/>
        <v>100000</v>
      </c>
      <c r="AE97" s="31">
        <v>100000</v>
      </c>
      <c r="AF97" s="101"/>
      <c r="AG97" s="101"/>
      <c r="AH97" s="152">
        <v>0</v>
      </c>
      <c r="AI97" s="132">
        <f t="shared" si="14"/>
        <v>0</v>
      </c>
    </row>
    <row r="98" spans="1:35" s="2" customFormat="1" ht="22.5" customHeight="1">
      <c r="A98" s="66" t="s">
        <v>142</v>
      </c>
      <c r="B98" s="66" t="s">
        <v>29</v>
      </c>
      <c r="C98" s="67"/>
      <c r="D98" s="161" t="s">
        <v>144</v>
      </c>
      <c r="E98" s="162"/>
      <c r="F98" s="162"/>
      <c r="G98" s="162"/>
      <c r="H98" s="162"/>
      <c r="I98" s="162"/>
      <c r="J98" s="162"/>
      <c r="K98" s="162"/>
      <c r="L98" s="162"/>
      <c r="M98" s="163">
        <f>M100+M99</f>
        <v>325000</v>
      </c>
      <c r="N98" s="162"/>
      <c r="O98" s="130">
        <f aca="true" t="shared" si="20" ref="O98:O109">P98+Q98</f>
        <v>2067000</v>
      </c>
      <c r="P98" s="100">
        <f aca="true" t="shared" si="21" ref="P98:P109">Q98+R98</f>
        <v>1033500</v>
      </c>
      <c r="Q98" s="164">
        <f>Q100+Q99</f>
        <v>1033500</v>
      </c>
      <c r="R98" s="84"/>
      <c r="S98" s="84"/>
      <c r="T98" s="164">
        <f>T100+T99</f>
        <v>669069.4899999999</v>
      </c>
      <c r="U98" s="164"/>
      <c r="V98" s="164">
        <f>V100+V99</f>
        <v>1189112</v>
      </c>
      <c r="W98" s="131"/>
      <c r="X98" s="164">
        <f>X100+X99</f>
        <v>669069.4899999999</v>
      </c>
      <c r="Y98" s="132">
        <f>X98/P98*100</f>
        <v>64.73821867440735</v>
      </c>
      <c r="Z98" s="165">
        <f>Z100+Z99</f>
        <v>1189112</v>
      </c>
      <c r="AA98" s="131">
        <f t="shared" si="19"/>
        <v>115.05679729075955</v>
      </c>
      <c r="AB98" s="148">
        <f t="shared" si="17"/>
        <v>155612</v>
      </c>
      <c r="AC98" s="278" t="s">
        <v>145</v>
      </c>
      <c r="AD98" s="99">
        <f t="shared" si="18"/>
        <v>789112</v>
      </c>
      <c r="AE98" s="166">
        <f>AE99+AE100</f>
        <v>789112</v>
      </c>
      <c r="AF98" s="101"/>
      <c r="AG98" s="101"/>
      <c r="AH98" s="120">
        <f>AH99+AH100</f>
        <v>423185.19</v>
      </c>
      <c r="AI98" s="117">
        <f t="shared" si="14"/>
        <v>53.62802618639686</v>
      </c>
    </row>
    <row r="99" spans="1:35" ht="18.75">
      <c r="A99" s="20"/>
      <c r="B99" s="20"/>
      <c r="C99" s="21" t="s">
        <v>146</v>
      </c>
      <c r="D99" s="121" t="s">
        <v>147</v>
      </c>
      <c r="E99" s="162"/>
      <c r="F99" s="162"/>
      <c r="G99" s="162"/>
      <c r="H99" s="162"/>
      <c r="I99" s="162"/>
      <c r="J99" s="162"/>
      <c r="K99" s="162"/>
      <c r="L99" s="162"/>
      <c r="M99" s="167">
        <v>225000</v>
      </c>
      <c r="N99" s="162"/>
      <c r="O99" s="127">
        <f t="shared" si="20"/>
        <v>1867000</v>
      </c>
      <c r="P99" s="124">
        <f t="shared" si="21"/>
        <v>933500</v>
      </c>
      <c r="Q99" s="168">
        <f>225000+378500+30000+300000</f>
        <v>933500</v>
      </c>
      <c r="R99" s="84"/>
      <c r="S99" s="84"/>
      <c r="T99" s="168">
        <f>12823.97+314438.51+1053.06+121644.29+64211.93+20568.88+13082.39+4993.7+64170</f>
        <v>616986.7299999999</v>
      </c>
      <c r="U99" s="168"/>
      <c r="V99" s="138">
        <v>1089113.5</v>
      </c>
      <c r="W99" s="113"/>
      <c r="X99" s="168">
        <f>12823.97+314438.51+1053.06+121644.29+64211.93+20568.88+13082.39+4993.7+64170</f>
        <v>616986.7299999999</v>
      </c>
      <c r="Y99" s="132">
        <f>X99/P99*100</f>
        <v>66.09391858596678</v>
      </c>
      <c r="Z99" s="31">
        <v>1089113.5</v>
      </c>
      <c r="AA99" s="113">
        <f t="shared" si="19"/>
        <v>116.66989823245848</v>
      </c>
      <c r="AB99" s="114">
        <f t="shared" si="17"/>
        <v>155613.5</v>
      </c>
      <c r="AC99" s="278"/>
      <c r="AD99" s="151">
        <f t="shared" si="18"/>
        <v>689113.5</v>
      </c>
      <c r="AE99" s="159">
        <v>689113.5</v>
      </c>
      <c r="AF99" s="101"/>
      <c r="AG99" s="101"/>
      <c r="AH99" s="152">
        <f>64659.38+110882.59+138297.43+78324.72</f>
        <v>392164.12</v>
      </c>
      <c r="AI99" s="132">
        <f t="shared" si="14"/>
        <v>56.908494754492544</v>
      </c>
    </row>
    <row r="100" spans="1:35" ht="18.75">
      <c r="A100" s="20"/>
      <c r="B100" s="20"/>
      <c r="C100" s="21" t="s">
        <v>146</v>
      </c>
      <c r="D100" s="121" t="s">
        <v>148</v>
      </c>
      <c r="E100" s="162"/>
      <c r="F100" s="162"/>
      <c r="G100" s="162"/>
      <c r="H100" s="162"/>
      <c r="I100" s="162"/>
      <c r="J100" s="162"/>
      <c r="K100" s="162"/>
      <c r="L100" s="162"/>
      <c r="M100" s="167">
        <v>100000</v>
      </c>
      <c r="N100" s="162"/>
      <c r="O100" s="127">
        <f t="shared" si="20"/>
        <v>200000</v>
      </c>
      <c r="P100" s="124">
        <f t="shared" si="21"/>
        <v>100000</v>
      </c>
      <c r="Q100" s="168">
        <v>100000</v>
      </c>
      <c r="R100" s="84"/>
      <c r="S100" s="84"/>
      <c r="T100" s="168">
        <f>385.27+6084.22+13129.31+12261.98+8270.72+11951.26</f>
        <v>52082.76</v>
      </c>
      <c r="U100" s="168"/>
      <c r="V100" s="138">
        <v>99998.5</v>
      </c>
      <c r="W100" s="113"/>
      <c r="X100" s="168">
        <f>385.27+6084.22+13129.31+12261.98+8270.72+11951.26</f>
        <v>52082.76</v>
      </c>
      <c r="Y100" s="132">
        <f>X100/P100*100</f>
        <v>52.08276000000001</v>
      </c>
      <c r="Z100" s="31">
        <v>99998.5</v>
      </c>
      <c r="AA100" s="113">
        <f t="shared" si="19"/>
        <v>99.9985</v>
      </c>
      <c r="AB100" s="114">
        <f t="shared" si="17"/>
        <v>-1.5</v>
      </c>
      <c r="AC100" s="278"/>
      <c r="AD100" s="151">
        <f t="shared" si="18"/>
        <v>99998.5</v>
      </c>
      <c r="AE100" s="159">
        <f>Z100</f>
        <v>99998.5</v>
      </c>
      <c r="AF100" s="101"/>
      <c r="AG100" s="101"/>
      <c r="AH100" s="152">
        <f>3627.67+2979.18+4331.94+2234.3+2184.74+3594.72+2619.8+1387.91+4339.43+3721.38</f>
        <v>31021.07</v>
      </c>
      <c r="AI100" s="132">
        <f t="shared" si="14"/>
        <v>31.02153532302985</v>
      </c>
    </row>
    <row r="101" spans="1:35" s="2" customFormat="1" ht="18.75">
      <c r="A101" s="66" t="s">
        <v>149</v>
      </c>
      <c r="B101" s="66" t="s">
        <v>30</v>
      </c>
      <c r="C101" s="67" t="s">
        <v>146</v>
      </c>
      <c r="D101" s="92" t="s">
        <v>151</v>
      </c>
      <c r="E101" s="122" t="e">
        <f>#REF!+#REF!</f>
        <v>#REF!</v>
      </c>
      <c r="F101" s="122" t="e">
        <f>#REF!+#REF!</f>
        <v>#REF!</v>
      </c>
      <c r="G101" s="122" t="e">
        <f>#REF!+#REF!</f>
        <v>#REF!</v>
      </c>
      <c r="H101" s="122" t="e">
        <f>#REF!+#REF!</f>
        <v>#REF!</v>
      </c>
      <c r="I101" s="122" t="e">
        <f>#REF!+#REF!</f>
        <v>#REF!</v>
      </c>
      <c r="J101" s="122"/>
      <c r="K101" s="122">
        <v>3916.0000000000005</v>
      </c>
      <c r="L101" s="122"/>
      <c r="M101" s="100">
        <v>59112.8</v>
      </c>
      <c r="N101" s="122"/>
      <c r="O101" s="130">
        <f t="shared" si="20"/>
        <v>118225.6</v>
      </c>
      <c r="P101" s="100">
        <f t="shared" si="21"/>
        <v>59112.8</v>
      </c>
      <c r="Q101" s="133">
        <f>59136-23.2</f>
        <v>59112.8</v>
      </c>
      <c r="R101" s="101"/>
      <c r="S101" s="101"/>
      <c r="T101" s="133">
        <v>15318.9</v>
      </c>
      <c r="U101" s="133"/>
      <c r="V101" s="133">
        <v>208100</v>
      </c>
      <c r="W101" s="133"/>
      <c r="X101" s="133">
        <v>15318.9</v>
      </c>
      <c r="Y101" s="117">
        <f>X101/P101*100</f>
        <v>25.91469191105818</v>
      </c>
      <c r="Z101" s="135">
        <v>208100</v>
      </c>
      <c r="AA101" s="133">
        <f t="shared" si="19"/>
        <v>352.03881392862456</v>
      </c>
      <c r="AB101" s="134">
        <f t="shared" si="17"/>
        <v>148987.2</v>
      </c>
      <c r="AC101" s="101" t="s">
        <v>152</v>
      </c>
      <c r="AD101" s="99">
        <f t="shared" si="18"/>
        <v>176052.53</v>
      </c>
      <c r="AE101" s="135">
        <f>P101+11241.06+5698.67+100000</f>
        <v>176052.53</v>
      </c>
      <c r="AF101" s="101"/>
      <c r="AG101" s="101"/>
      <c r="AH101" s="120">
        <f>32017.68+31300</f>
        <v>63317.68</v>
      </c>
      <c r="AI101" s="117">
        <f t="shared" si="14"/>
        <v>35.96522015332583</v>
      </c>
    </row>
    <row r="102" spans="1:35" s="2" customFormat="1" ht="18.75">
      <c r="A102" s="66" t="s">
        <v>153</v>
      </c>
      <c r="B102" s="66" t="s">
        <v>31</v>
      </c>
      <c r="C102" s="67" t="s">
        <v>146</v>
      </c>
      <c r="D102" s="92" t="s">
        <v>155</v>
      </c>
      <c r="E102" s="122"/>
      <c r="F102" s="122"/>
      <c r="G102" s="122"/>
      <c r="H102" s="122"/>
      <c r="I102" s="122"/>
      <c r="J102" s="122"/>
      <c r="K102" s="122"/>
      <c r="L102" s="122"/>
      <c r="M102" s="100">
        <v>0</v>
      </c>
      <c r="N102" s="122"/>
      <c r="O102" s="130">
        <f t="shared" si="20"/>
        <v>54000</v>
      </c>
      <c r="P102" s="100">
        <f t="shared" si="21"/>
        <v>27000</v>
      </c>
      <c r="Q102" s="133">
        <v>27000</v>
      </c>
      <c r="R102" s="101"/>
      <c r="S102" s="101"/>
      <c r="T102" s="133">
        <f>8994.7+8994.7</f>
        <v>17989.4</v>
      </c>
      <c r="U102" s="133"/>
      <c r="V102" s="133">
        <v>62426.4</v>
      </c>
      <c r="W102" s="133"/>
      <c r="X102" s="133">
        <f>8994.7+8994.7</f>
        <v>17989.4</v>
      </c>
      <c r="Y102" s="117"/>
      <c r="Z102" s="135">
        <v>62426.4</v>
      </c>
      <c r="AA102" s="133">
        <f t="shared" si="19"/>
        <v>231.20888888888888</v>
      </c>
      <c r="AB102" s="134">
        <f t="shared" si="17"/>
        <v>35426.4</v>
      </c>
      <c r="AC102" s="101" t="s">
        <v>76</v>
      </c>
      <c r="AD102" s="99">
        <f t="shared" si="18"/>
        <v>96267.8</v>
      </c>
      <c r="AE102" s="135">
        <v>96267.8</v>
      </c>
      <c r="AF102" s="101"/>
      <c r="AG102" s="101"/>
      <c r="AH102" s="120">
        <f>20125.35+17371.35+1115.07+798.02+17760.4+17760.4+938.05+17760.4+594.52+1654.98</f>
        <v>95878.54000000001</v>
      </c>
      <c r="AI102" s="117">
        <f t="shared" si="14"/>
        <v>99.5956488046886</v>
      </c>
    </row>
    <row r="103" spans="1:35" ht="30" hidden="1">
      <c r="A103" s="18" t="s">
        <v>156</v>
      </c>
      <c r="B103" s="18" t="s">
        <v>157</v>
      </c>
      <c r="C103" s="19" t="s">
        <v>158</v>
      </c>
      <c r="D103" s="153" t="s">
        <v>159</v>
      </c>
      <c r="E103" s="154"/>
      <c r="F103" s="154"/>
      <c r="G103" s="154"/>
      <c r="H103" s="154"/>
      <c r="I103" s="154"/>
      <c r="J103" s="154"/>
      <c r="K103" s="154"/>
      <c r="L103" s="154"/>
      <c r="M103" s="149">
        <v>0</v>
      </c>
      <c r="N103" s="154"/>
      <c r="O103" s="150">
        <f t="shared" si="20"/>
        <v>10951615.36</v>
      </c>
      <c r="P103" s="149">
        <f t="shared" si="21"/>
        <v>5475807.68</v>
      </c>
      <c r="Q103" s="110">
        <v>5475807.68</v>
      </c>
      <c r="R103" s="169"/>
      <c r="S103" s="101"/>
      <c r="T103" s="168">
        <v>5475807.68</v>
      </c>
      <c r="U103" s="168"/>
      <c r="V103" s="110">
        <v>0</v>
      </c>
      <c r="W103" s="110"/>
      <c r="X103" s="168">
        <v>5475807.68</v>
      </c>
      <c r="Y103" s="132">
        <f>X103/P103*100</f>
        <v>100</v>
      </c>
      <c r="Z103" s="149">
        <f>Z104+Z105+Z106</f>
        <v>0</v>
      </c>
      <c r="AA103" s="110">
        <f t="shared" si="19"/>
        <v>0</v>
      </c>
      <c r="AB103" s="143">
        <f t="shared" si="17"/>
        <v>-5475807.68</v>
      </c>
      <c r="AC103" s="101"/>
      <c r="AD103" s="99">
        <f t="shared" si="18"/>
        <v>0</v>
      </c>
      <c r="AE103" s="149">
        <f>AE104+AE105+AE106</f>
        <v>0</v>
      </c>
      <c r="AF103" s="101"/>
      <c r="AG103" s="101"/>
      <c r="AH103" s="120"/>
      <c r="AI103" s="117" t="e">
        <f t="shared" si="14"/>
        <v>#DIV/0!</v>
      </c>
    </row>
    <row r="104" spans="1:35" ht="30" hidden="1">
      <c r="A104" s="18" t="s">
        <v>160</v>
      </c>
      <c r="B104" s="18" t="s">
        <v>161</v>
      </c>
      <c r="C104" s="19" t="s">
        <v>158</v>
      </c>
      <c r="D104" s="153" t="s">
        <v>162</v>
      </c>
      <c r="E104" s="154"/>
      <c r="F104" s="154"/>
      <c r="G104" s="154"/>
      <c r="H104" s="154"/>
      <c r="I104" s="154"/>
      <c r="J104" s="154"/>
      <c r="K104" s="154"/>
      <c r="L104" s="154"/>
      <c r="M104" s="149">
        <v>0</v>
      </c>
      <c r="N104" s="154"/>
      <c r="O104" s="150">
        <f t="shared" si="20"/>
        <v>340762.28</v>
      </c>
      <c r="P104" s="149">
        <f t="shared" si="21"/>
        <v>170381.14</v>
      </c>
      <c r="Q104" s="110">
        <f>550000-379618.86</f>
        <v>170381.14</v>
      </c>
      <c r="R104" s="169"/>
      <c r="S104" s="101"/>
      <c r="T104" s="168">
        <v>170381.14</v>
      </c>
      <c r="U104" s="168"/>
      <c r="V104" s="110">
        <v>0</v>
      </c>
      <c r="W104" s="110"/>
      <c r="X104" s="168">
        <v>170381.14</v>
      </c>
      <c r="Y104" s="132">
        <f>X104/P104*100</f>
        <v>100</v>
      </c>
      <c r="Z104" s="149">
        <f>Z105+Z106+Z107</f>
        <v>0</v>
      </c>
      <c r="AA104" s="110">
        <f t="shared" si="19"/>
        <v>0</v>
      </c>
      <c r="AB104" s="143">
        <f t="shared" si="17"/>
        <v>-170381.14</v>
      </c>
      <c r="AC104" s="101"/>
      <c r="AD104" s="99">
        <f t="shared" si="18"/>
        <v>0</v>
      </c>
      <c r="AE104" s="149">
        <f>AE105+AE106+AE107</f>
        <v>0</v>
      </c>
      <c r="AF104" s="101"/>
      <c r="AG104" s="101"/>
      <c r="AH104" s="120"/>
      <c r="AI104" s="117" t="e">
        <f t="shared" si="14"/>
        <v>#DIV/0!</v>
      </c>
    </row>
    <row r="105" spans="1:35" ht="32.25" customHeight="1" hidden="1">
      <c r="A105" s="18" t="s">
        <v>163</v>
      </c>
      <c r="B105" s="18" t="s">
        <v>164</v>
      </c>
      <c r="C105" s="19" t="s">
        <v>158</v>
      </c>
      <c r="D105" s="153" t="s">
        <v>165</v>
      </c>
      <c r="E105" s="154"/>
      <c r="F105" s="154"/>
      <c r="G105" s="154"/>
      <c r="H105" s="154"/>
      <c r="I105" s="154"/>
      <c r="J105" s="154"/>
      <c r="K105" s="154"/>
      <c r="L105" s="154"/>
      <c r="M105" s="149">
        <v>0</v>
      </c>
      <c r="N105" s="154"/>
      <c r="O105" s="150">
        <f t="shared" si="20"/>
        <v>610364</v>
      </c>
      <c r="P105" s="149">
        <f t="shared" si="21"/>
        <v>305182</v>
      </c>
      <c r="Q105" s="110">
        <v>305182</v>
      </c>
      <c r="R105" s="169"/>
      <c r="S105" s="101"/>
      <c r="T105" s="168"/>
      <c r="U105" s="168"/>
      <c r="V105" s="110">
        <v>0</v>
      </c>
      <c r="W105" s="110"/>
      <c r="X105" s="168"/>
      <c r="Y105" s="132"/>
      <c r="Z105" s="149">
        <f>Z106+Z107+Z108</f>
        <v>0</v>
      </c>
      <c r="AA105" s="110">
        <f t="shared" si="19"/>
        <v>0</v>
      </c>
      <c r="AB105" s="143">
        <f t="shared" si="17"/>
        <v>-305182</v>
      </c>
      <c r="AC105" s="101"/>
      <c r="AD105" s="99">
        <f t="shared" si="18"/>
        <v>0</v>
      </c>
      <c r="AE105" s="149">
        <f>AE106+AE107+AE108</f>
        <v>0</v>
      </c>
      <c r="AF105" s="101"/>
      <c r="AG105" s="101"/>
      <c r="AH105" s="120"/>
      <c r="AI105" s="117" t="e">
        <f t="shared" si="14"/>
        <v>#DIV/0!</v>
      </c>
    </row>
    <row r="106" spans="1:35" ht="51.75" customHeight="1" hidden="1">
      <c r="A106" s="18" t="s">
        <v>166</v>
      </c>
      <c r="B106" s="18" t="s">
        <v>167</v>
      </c>
      <c r="C106" s="19" t="s">
        <v>168</v>
      </c>
      <c r="D106" s="153" t="s">
        <v>169</v>
      </c>
      <c r="E106" s="154"/>
      <c r="F106" s="154"/>
      <c r="G106" s="154"/>
      <c r="H106" s="154"/>
      <c r="I106" s="154"/>
      <c r="J106" s="154"/>
      <c r="K106" s="154"/>
      <c r="L106" s="154"/>
      <c r="M106" s="149">
        <f>M107+M108+M109</f>
        <v>0</v>
      </c>
      <c r="N106" s="154"/>
      <c r="O106" s="150">
        <f t="shared" si="20"/>
        <v>20012024</v>
      </c>
      <c r="P106" s="149">
        <f t="shared" si="21"/>
        <v>10006012</v>
      </c>
      <c r="Q106" s="110">
        <f>Q107+Q108+Q109</f>
        <v>10006012</v>
      </c>
      <c r="R106" s="170"/>
      <c r="S106" s="101"/>
      <c r="T106" s="110">
        <f>T107+T108+T109</f>
        <v>7554942</v>
      </c>
      <c r="U106" s="110"/>
      <c r="V106" s="110">
        <v>0</v>
      </c>
      <c r="W106" s="110"/>
      <c r="X106" s="110">
        <f>X107+X108+X109</f>
        <v>7554942</v>
      </c>
      <c r="Y106" s="102">
        <f>X106/P106*100</f>
        <v>75.50402697898024</v>
      </c>
      <c r="Z106" s="149">
        <f>Z107+Z108+Z109</f>
        <v>0</v>
      </c>
      <c r="AA106" s="110">
        <f t="shared" si="19"/>
        <v>0</v>
      </c>
      <c r="AB106" s="143">
        <f t="shared" si="17"/>
        <v>-10006012</v>
      </c>
      <c r="AC106" s="101"/>
      <c r="AD106" s="99">
        <f t="shared" si="18"/>
        <v>0</v>
      </c>
      <c r="AE106" s="149">
        <f>AE107+AE108+AE109</f>
        <v>0</v>
      </c>
      <c r="AF106" s="101"/>
      <c r="AG106" s="101"/>
      <c r="AH106" s="120"/>
      <c r="AI106" s="117" t="e">
        <f t="shared" si="14"/>
        <v>#DIV/0!</v>
      </c>
    </row>
    <row r="107" spans="1:35" ht="24" customHeight="1" hidden="1">
      <c r="A107" s="18"/>
      <c r="B107" s="18"/>
      <c r="C107" s="21"/>
      <c r="D107" s="121" t="s">
        <v>170</v>
      </c>
      <c r="E107" s="154"/>
      <c r="F107" s="154"/>
      <c r="G107" s="154"/>
      <c r="H107" s="154"/>
      <c r="I107" s="154"/>
      <c r="J107" s="154"/>
      <c r="K107" s="154"/>
      <c r="L107" s="154"/>
      <c r="M107" s="124">
        <v>0</v>
      </c>
      <c r="N107" s="154"/>
      <c r="O107" s="127">
        <f t="shared" si="20"/>
        <v>4000000</v>
      </c>
      <c r="P107" s="124">
        <f t="shared" si="21"/>
        <v>2000000</v>
      </c>
      <c r="Q107" s="131">
        <f>1500000+500000</f>
        <v>2000000</v>
      </c>
      <c r="R107" s="170"/>
      <c r="S107" s="101"/>
      <c r="T107" s="168">
        <f>185695.2+283914.6+257099.4+99340.8+62907.6+129854.4+71424+72591.6+236332.8+190290+101258.4+5511.6+10389.6</f>
        <v>1706610.0000000002</v>
      </c>
      <c r="U107" s="168"/>
      <c r="V107" s="110">
        <v>0</v>
      </c>
      <c r="W107" s="110"/>
      <c r="X107" s="168">
        <f>185695.2+283914.6+257099.4+99340.8+62907.6+129854.4+71424+72591.6+236332.8+190290+101258.4+5511.6+10389.6</f>
        <v>1706610.0000000002</v>
      </c>
      <c r="Y107" s="132">
        <f>X107/P107*100</f>
        <v>85.33050000000001</v>
      </c>
      <c r="Z107" s="31">
        <v>0</v>
      </c>
      <c r="AA107" s="110">
        <f t="shared" si="19"/>
        <v>0</v>
      </c>
      <c r="AB107" s="143">
        <f t="shared" si="17"/>
        <v>-2000000</v>
      </c>
      <c r="AC107" s="101"/>
      <c r="AD107" s="99">
        <f t="shared" si="18"/>
        <v>0</v>
      </c>
      <c r="AE107" s="135"/>
      <c r="AF107" s="101"/>
      <c r="AG107" s="101"/>
      <c r="AH107" s="120"/>
      <c r="AI107" s="117" t="e">
        <f t="shared" si="14"/>
        <v>#DIV/0!</v>
      </c>
    </row>
    <row r="108" spans="1:35" ht="17.25" hidden="1">
      <c r="A108" s="18"/>
      <c r="B108" s="18"/>
      <c r="C108" s="21"/>
      <c r="D108" s="121" t="s">
        <v>171</v>
      </c>
      <c r="E108" s="154"/>
      <c r="F108" s="154"/>
      <c r="G108" s="154"/>
      <c r="H108" s="154"/>
      <c r="I108" s="154"/>
      <c r="J108" s="154"/>
      <c r="K108" s="154"/>
      <c r="L108" s="154"/>
      <c r="M108" s="124">
        <v>0</v>
      </c>
      <c r="N108" s="154"/>
      <c r="O108" s="127">
        <f t="shared" si="20"/>
        <v>9012024</v>
      </c>
      <c r="P108" s="124">
        <f t="shared" si="21"/>
        <v>4506012</v>
      </c>
      <c r="Q108" s="131">
        <f>5000000-500000+6012</f>
        <v>4506012</v>
      </c>
      <c r="R108" s="170"/>
      <c r="S108" s="101"/>
      <c r="T108" s="168">
        <f>309091.2+295428.55+104848.25+410089.8+99821.4+824466.6+79300.2-85899.6+234306+338492.4+314325+469128-30844.2+68012.4+172592.4+166410+6012</f>
        <v>3775580.3999999994</v>
      </c>
      <c r="U108" s="168"/>
      <c r="V108" s="110">
        <v>0</v>
      </c>
      <c r="W108" s="110"/>
      <c r="X108" s="168">
        <f>309091.2+295428.55+104848.25+410089.8+99821.4+824466.6+79300.2-85899.6+234306+338492.4+314325+469128-30844.2+68012.4+172592.4+166410+6012</f>
        <v>3775580.3999999994</v>
      </c>
      <c r="Y108" s="132">
        <f>X108/P108*100</f>
        <v>83.78984343583637</v>
      </c>
      <c r="Z108" s="31">
        <v>0</v>
      </c>
      <c r="AA108" s="110">
        <f t="shared" si="19"/>
        <v>0</v>
      </c>
      <c r="AB108" s="143">
        <f t="shared" si="17"/>
        <v>-4506012</v>
      </c>
      <c r="AC108" s="101"/>
      <c r="AD108" s="99">
        <f t="shared" si="18"/>
        <v>0</v>
      </c>
      <c r="AE108" s="135"/>
      <c r="AF108" s="101"/>
      <c r="AG108" s="101"/>
      <c r="AH108" s="120"/>
      <c r="AI108" s="117" t="e">
        <f t="shared" si="14"/>
        <v>#DIV/0!</v>
      </c>
    </row>
    <row r="109" spans="1:35" ht="21" customHeight="1" hidden="1">
      <c r="A109" s="18"/>
      <c r="B109" s="18"/>
      <c r="C109" s="21"/>
      <c r="D109" s="121" t="s">
        <v>172</v>
      </c>
      <c r="E109" s="154"/>
      <c r="F109" s="154"/>
      <c r="G109" s="154"/>
      <c r="H109" s="154"/>
      <c r="I109" s="154"/>
      <c r="J109" s="154"/>
      <c r="K109" s="154"/>
      <c r="L109" s="154"/>
      <c r="M109" s="124">
        <v>0</v>
      </c>
      <c r="N109" s="154"/>
      <c r="O109" s="127">
        <f t="shared" si="20"/>
        <v>7000000</v>
      </c>
      <c r="P109" s="124">
        <f t="shared" si="21"/>
        <v>3500000</v>
      </c>
      <c r="Q109" s="131">
        <v>3500000</v>
      </c>
      <c r="R109" s="170"/>
      <c r="S109" s="101"/>
      <c r="T109" s="168">
        <v>2072751.6</v>
      </c>
      <c r="U109" s="168"/>
      <c r="V109" s="110">
        <v>0</v>
      </c>
      <c r="W109" s="110"/>
      <c r="X109" s="168">
        <v>2072751.6</v>
      </c>
      <c r="Y109" s="132">
        <f>X109/P109*100</f>
        <v>59.221474285714294</v>
      </c>
      <c r="Z109" s="31">
        <v>0</v>
      </c>
      <c r="AA109" s="110">
        <f t="shared" si="19"/>
        <v>0</v>
      </c>
      <c r="AB109" s="143">
        <f t="shared" si="17"/>
        <v>-3500000</v>
      </c>
      <c r="AC109" s="101"/>
      <c r="AD109" s="99">
        <f t="shared" si="18"/>
        <v>0</v>
      </c>
      <c r="AE109" s="135"/>
      <c r="AF109" s="101"/>
      <c r="AG109" s="101"/>
      <c r="AH109" s="120"/>
      <c r="AI109" s="117" t="e">
        <f t="shared" si="14"/>
        <v>#DIV/0!</v>
      </c>
    </row>
    <row r="110" spans="1:35" ht="21" customHeight="1">
      <c r="A110" s="18"/>
      <c r="B110" s="18"/>
      <c r="C110" s="21"/>
      <c r="D110" s="121" t="s">
        <v>213</v>
      </c>
      <c r="E110" s="154"/>
      <c r="F110" s="154"/>
      <c r="G110" s="154"/>
      <c r="H110" s="154"/>
      <c r="I110" s="154"/>
      <c r="J110" s="154"/>
      <c r="K110" s="154"/>
      <c r="L110" s="154"/>
      <c r="M110" s="124"/>
      <c r="N110" s="154"/>
      <c r="O110" s="127"/>
      <c r="P110" s="124"/>
      <c r="Q110" s="131"/>
      <c r="R110" s="170"/>
      <c r="S110" s="101"/>
      <c r="T110" s="168"/>
      <c r="U110" s="168"/>
      <c r="V110" s="110"/>
      <c r="W110" s="110"/>
      <c r="X110" s="168"/>
      <c r="Y110" s="132"/>
      <c r="Z110" s="31"/>
      <c r="AA110" s="110"/>
      <c r="AB110" s="143"/>
      <c r="AC110" s="101"/>
      <c r="AD110" s="171">
        <f>AE110</f>
        <v>3456.5</v>
      </c>
      <c r="AE110" s="135">
        <v>3456.5</v>
      </c>
      <c r="AF110" s="101"/>
      <c r="AG110" s="101"/>
      <c r="AH110" s="120">
        <f>1115.07+798.02+938.05+594.52</f>
        <v>3445.66</v>
      </c>
      <c r="AI110" s="117">
        <f t="shared" si="14"/>
        <v>99.68638796470418</v>
      </c>
    </row>
    <row r="111" spans="1:35" ht="64.5" customHeight="1">
      <c r="A111" s="18"/>
      <c r="B111" s="20" t="s">
        <v>203</v>
      </c>
      <c r="C111" s="21"/>
      <c r="D111" s="172" t="s">
        <v>221</v>
      </c>
      <c r="E111" s="105"/>
      <c r="F111" s="105"/>
      <c r="G111" s="105"/>
      <c r="H111" s="105"/>
      <c r="I111" s="105"/>
      <c r="J111" s="105"/>
      <c r="K111" s="105"/>
      <c r="L111" s="105"/>
      <c r="M111" s="173"/>
      <c r="N111" s="105"/>
      <c r="O111" s="174"/>
      <c r="P111" s="173"/>
      <c r="Q111" s="175"/>
      <c r="R111" s="176"/>
      <c r="S111" s="176"/>
      <c r="T111" s="175"/>
      <c r="U111" s="175"/>
      <c r="V111" s="175"/>
      <c r="W111" s="175"/>
      <c r="X111" s="175"/>
      <c r="Y111" s="177"/>
      <c r="Z111" s="178"/>
      <c r="AA111" s="175"/>
      <c r="AB111" s="179"/>
      <c r="AC111" s="176"/>
      <c r="AD111" s="180">
        <f>AE111</f>
        <v>666836.4</v>
      </c>
      <c r="AE111" s="178">
        <v>666836.4</v>
      </c>
      <c r="AF111" s="39"/>
      <c r="AG111" s="39"/>
      <c r="AH111" s="135">
        <f>606679.2+57642</f>
        <v>664321.2</v>
      </c>
      <c r="AI111" s="117">
        <f t="shared" si="14"/>
        <v>99.62281603103848</v>
      </c>
    </row>
    <row r="112" spans="1:35" ht="21" customHeight="1">
      <c r="A112" s="18"/>
      <c r="B112" s="15" t="s">
        <v>22</v>
      </c>
      <c r="C112" s="16">
        <v>1</v>
      </c>
      <c r="D112" s="85" t="s">
        <v>173</v>
      </c>
      <c r="E112" s="56"/>
      <c r="F112" s="56"/>
      <c r="G112" s="57"/>
      <c r="H112" s="56"/>
      <c r="I112" s="56"/>
      <c r="J112" s="58"/>
      <c r="K112" s="58"/>
      <c r="L112" s="58"/>
      <c r="M112" s="181">
        <f>M113</f>
        <v>28400</v>
      </c>
      <c r="N112" s="182"/>
      <c r="O112" s="183">
        <f>P112+Q112</f>
        <v>56800</v>
      </c>
      <c r="P112" s="87">
        <f>Q112+R112</f>
        <v>28400</v>
      </c>
      <c r="Q112" s="86">
        <f>Q113</f>
        <v>28400</v>
      </c>
      <c r="R112" s="86">
        <f>R113</f>
        <v>0</v>
      </c>
      <c r="S112" s="86">
        <f>S113</f>
        <v>0</v>
      </c>
      <c r="T112" s="86">
        <f>T113</f>
        <v>0</v>
      </c>
      <c r="U112" s="86"/>
      <c r="V112" s="86">
        <f>P112*(0.9)</f>
        <v>25560</v>
      </c>
      <c r="W112" s="86"/>
      <c r="X112" s="86">
        <f>X113</f>
        <v>0</v>
      </c>
      <c r="Y112" s="89">
        <f>X112/P112*100</f>
        <v>0</v>
      </c>
      <c r="Z112" s="87">
        <v>50000</v>
      </c>
      <c r="AA112" s="181">
        <f>Z112/P112*100</f>
        <v>176.05633802816902</v>
      </c>
      <c r="AB112" s="285"/>
      <c r="AC112" s="39" t="s">
        <v>174</v>
      </c>
      <c r="AD112" s="91">
        <f aca="true" t="shared" si="22" ref="AD112:AD118">AE112+AF112</f>
        <v>30700</v>
      </c>
      <c r="AE112" s="184">
        <f>AE113</f>
        <v>30700</v>
      </c>
      <c r="AF112" s="63"/>
      <c r="AG112" s="63"/>
      <c r="AH112" s="185">
        <v>0</v>
      </c>
      <c r="AI112" s="89">
        <f t="shared" si="14"/>
        <v>0</v>
      </c>
    </row>
    <row r="113" spans="1:35" ht="21" customHeight="1">
      <c r="A113" s="18"/>
      <c r="B113" s="69" t="s">
        <v>98</v>
      </c>
      <c r="C113" s="27"/>
      <c r="D113" s="156" t="s">
        <v>175</v>
      </c>
      <c r="E113" s="9"/>
      <c r="F113" s="9"/>
      <c r="G113" s="10"/>
      <c r="H113" s="9"/>
      <c r="I113" s="9"/>
      <c r="J113" s="186"/>
      <c r="K113" s="186"/>
      <c r="L113" s="186"/>
      <c r="M113" s="187">
        <v>28400</v>
      </c>
      <c r="N113" s="186"/>
      <c r="O113" s="188">
        <f>P113+Q113</f>
        <v>56800</v>
      </c>
      <c r="P113" s="189">
        <f>Q113+R113</f>
        <v>28400</v>
      </c>
      <c r="Q113" s="110">
        <v>28400</v>
      </c>
      <c r="R113" s="110">
        <v>0</v>
      </c>
      <c r="S113" s="110">
        <v>0</v>
      </c>
      <c r="T113" s="110">
        <v>0</v>
      </c>
      <c r="U113" s="110"/>
      <c r="V113" s="110">
        <f>P113*(0.9)</f>
        <v>25560</v>
      </c>
      <c r="W113" s="110"/>
      <c r="X113" s="110">
        <v>0</v>
      </c>
      <c r="Y113" s="141">
        <f>X113/P113*100</f>
        <v>0</v>
      </c>
      <c r="Z113" s="190">
        <v>50000</v>
      </c>
      <c r="AA113" s="110">
        <f>Z113/P113*100</f>
        <v>176.05633802816902</v>
      </c>
      <c r="AB113" s="285"/>
      <c r="AC113" s="39"/>
      <c r="AD113" s="140">
        <f t="shared" si="22"/>
        <v>30700</v>
      </c>
      <c r="AE113" s="112">
        <v>30700</v>
      </c>
      <c r="AF113" s="48"/>
      <c r="AG113" s="48"/>
      <c r="AH113" s="191">
        <v>30431.23</v>
      </c>
      <c r="AI113" s="111">
        <f t="shared" si="14"/>
        <v>99.12452768729642</v>
      </c>
    </row>
    <row r="114" spans="1:35" ht="52.5" customHeight="1">
      <c r="A114" s="18"/>
      <c r="B114" s="28" t="s">
        <v>23</v>
      </c>
      <c r="C114" s="29"/>
      <c r="D114" s="192" t="s">
        <v>138</v>
      </c>
      <c r="E114" s="193"/>
      <c r="F114" s="193"/>
      <c r="G114" s="193"/>
      <c r="H114" s="193"/>
      <c r="I114" s="193"/>
      <c r="J114" s="193"/>
      <c r="K114" s="193"/>
      <c r="L114" s="193"/>
      <c r="M114" s="194"/>
      <c r="N114" s="194"/>
      <c r="O114" s="194"/>
      <c r="P114" s="194"/>
      <c r="Q114" s="194"/>
      <c r="R114" s="194"/>
      <c r="S114" s="194"/>
      <c r="T114" s="194"/>
      <c r="U114" s="194"/>
      <c r="V114" s="86"/>
      <c r="W114" s="86"/>
      <c r="X114" s="194"/>
      <c r="Y114" s="194"/>
      <c r="Z114" s="184"/>
      <c r="AA114" s="86"/>
      <c r="AB114" s="90"/>
      <c r="AC114" s="195"/>
      <c r="AD114" s="91">
        <f t="shared" si="22"/>
        <v>777789.24</v>
      </c>
      <c r="AE114" s="184">
        <f>AE115</f>
        <v>777789.24</v>
      </c>
      <c r="AF114" s="63"/>
      <c r="AG114" s="63"/>
      <c r="AH114" s="59">
        <f>AH116</f>
        <v>490493.47</v>
      </c>
      <c r="AI114" s="89">
        <f>AH114/AD114*100</f>
        <v>63.062516781538406</v>
      </c>
    </row>
    <row r="115" spans="1:35" ht="20.25" customHeight="1">
      <c r="A115" s="18" t="s">
        <v>139</v>
      </c>
      <c r="B115" s="20" t="s">
        <v>125</v>
      </c>
      <c r="C115" s="19"/>
      <c r="D115" s="92" t="s">
        <v>140</v>
      </c>
      <c r="E115" s="154"/>
      <c r="F115" s="154"/>
      <c r="G115" s="154"/>
      <c r="H115" s="154"/>
      <c r="I115" s="154"/>
      <c r="J115" s="154"/>
      <c r="K115" s="154"/>
      <c r="L115" s="154"/>
      <c r="M115" s="196">
        <f>M116</f>
        <v>135989</v>
      </c>
      <c r="N115" s="196"/>
      <c r="O115" s="150">
        <f>P115+Q115</f>
        <v>271978</v>
      </c>
      <c r="P115" s="149">
        <f>Q115+R115</f>
        <v>135989</v>
      </c>
      <c r="Q115" s="110">
        <f>Q116</f>
        <v>135989</v>
      </c>
      <c r="R115" s="101"/>
      <c r="S115" s="101"/>
      <c r="T115" s="110">
        <f>T116</f>
        <v>128500.84000000001</v>
      </c>
      <c r="U115" s="110"/>
      <c r="V115" s="110">
        <f>V116</f>
        <v>1147180.09</v>
      </c>
      <c r="W115" s="110">
        <v>402800</v>
      </c>
      <c r="X115" s="110">
        <f>X116</f>
        <v>128500.84000000001</v>
      </c>
      <c r="Y115" s="117">
        <f>X115/P115*100</f>
        <v>94.4935546257418</v>
      </c>
      <c r="Z115" s="149">
        <f>Z116</f>
        <v>1147180.09</v>
      </c>
      <c r="AA115" s="110">
        <f>Z115/P115*100</f>
        <v>843.5830030370104</v>
      </c>
      <c r="AB115" s="143">
        <f>Z115-P115</f>
        <v>1011191.0900000001</v>
      </c>
      <c r="AC115" s="101"/>
      <c r="AD115" s="171">
        <f t="shared" si="22"/>
        <v>777789.24</v>
      </c>
      <c r="AE115" s="135">
        <f>AE116+AE117</f>
        <v>777789.24</v>
      </c>
      <c r="AF115" s="101"/>
      <c r="AG115" s="39"/>
      <c r="AH115" s="135">
        <f>AH116+AH117</f>
        <v>490493.47</v>
      </c>
      <c r="AI115" s="141">
        <f>AH115/AD115*100</f>
        <v>63.062516781538406</v>
      </c>
    </row>
    <row r="116" spans="1:35" ht="33" customHeight="1">
      <c r="A116" s="18"/>
      <c r="B116" s="20"/>
      <c r="C116" s="19"/>
      <c r="D116" s="129" t="s">
        <v>80</v>
      </c>
      <c r="E116" s="122"/>
      <c r="F116" s="122"/>
      <c r="G116" s="122"/>
      <c r="H116" s="122"/>
      <c r="I116" s="122"/>
      <c r="J116" s="122"/>
      <c r="K116" s="122"/>
      <c r="L116" s="122"/>
      <c r="M116" s="131">
        <f>135989</f>
        <v>135989</v>
      </c>
      <c r="N116" s="145"/>
      <c r="O116" s="127">
        <f>P116+Q116</f>
        <v>271978</v>
      </c>
      <c r="P116" s="124">
        <f>Q116+R116</f>
        <v>135989</v>
      </c>
      <c r="Q116" s="109">
        <f>135989</f>
        <v>135989</v>
      </c>
      <c r="R116" s="84"/>
      <c r="S116" s="84"/>
      <c r="T116" s="109">
        <f>6438.31+13187.76+54909+12393.8+41571.97</f>
        <v>128500.84000000001</v>
      </c>
      <c r="U116" s="109"/>
      <c r="V116" s="113">
        <v>1147180.09</v>
      </c>
      <c r="W116" s="113">
        <f>W115</f>
        <v>402800</v>
      </c>
      <c r="X116" s="109">
        <f>6438.31+13187.76+54909+12393.8+41571.97</f>
        <v>128500.84000000001</v>
      </c>
      <c r="Y116" s="128">
        <f>X116/P116*100</f>
        <v>94.4935546257418</v>
      </c>
      <c r="Z116" s="31">
        <v>1147180.09</v>
      </c>
      <c r="AA116" s="113">
        <f>Z116/P116*100</f>
        <v>843.5830030370104</v>
      </c>
      <c r="AB116" s="114">
        <f>Z116-P116</f>
        <v>1011191.0900000001</v>
      </c>
      <c r="AC116" s="84" t="s">
        <v>81</v>
      </c>
      <c r="AD116" s="140">
        <f t="shared" si="22"/>
        <v>736478.54</v>
      </c>
      <c r="AE116" s="31">
        <v>736478.54</v>
      </c>
      <c r="AF116" s="39"/>
      <c r="AG116" s="39"/>
      <c r="AH116" s="198">
        <f>11291.3+9563.01+9331.63+11197.95+10805.05+9724.53+8211.82+12317.77+10264.82+10264.82+40136.29+9912.46+80056.91+8624.61+41052.05+7295.54+68000+12209.06+8525.93+10055.8+69741.22+9885.83+12038.74+9986.33</f>
        <v>490493.47</v>
      </c>
      <c r="AI116" s="111">
        <f>AH116/AD116*100</f>
        <v>66.59983195165469</v>
      </c>
    </row>
    <row r="117" spans="1:37" ht="32.25" customHeight="1">
      <c r="A117" s="18"/>
      <c r="B117" s="18"/>
      <c r="C117" s="30"/>
      <c r="D117" s="199" t="s">
        <v>219</v>
      </c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140">
        <f t="shared" si="22"/>
        <v>41310.7</v>
      </c>
      <c r="AE117" s="31">
        <v>41310.7</v>
      </c>
      <c r="AF117" s="39"/>
      <c r="AG117" s="39"/>
      <c r="AH117" s="111">
        <v>0</v>
      </c>
      <c r="AI117" s="111">
        <f>AH117/AD117*100</f>
        <v>0</v>
      </c>
      <c r="AK117" s="25"/>
    </row>
    <row r="118" spans="1:35" ht="0.75" customHeight="1" hidden="1">
      <c r="A118" s="18"/>
      <c r="B118" s="18"/>
      <c r="C118" s="30"/>
      <c r="D118" s="129"/>
      <c r="E118" s="122"/>
      <c r="F118" s="122"/>
      <c r="G118" s="122"/>
      <c r="H118" s="122"/>
      <c r="I118" s="122"/>
      <c r="J118" s="122"/>
      <c r="K118" s="122"/>
      <c r="L118" s="122"/>
      <c r="M118" s="131"/>
      <c r="N118" s="145"/>
      <c r="O118" s="127"/>
      <c r="P118" s="124"/>
      <c r="Q118" s="109"/>
      <c r="R118" s="84"/>
      <c r="S118" s="84"/>
      <c r="T118" s="109"/>
      <c r="U118" s="109"/>
      <c r="V118" s="113"/>
      <c r="W118" s="113"/>
      <c r="X118" s="109"/>
      <c r="Y118" s="128"/>
      <c r="Z118" s="31"/>
      <c r="AA118" s="113"/>
      <c r="AB118" s="114"/>
      <c r="AC118" s="84"/>
      <c r="AD118" s="140">
        <f t="shared" si="22"/>
        <v>736478.54</v>
      </c>
      <c r="AE118" s="31">
        <v>736478.54</v>
      </c>
      <c r="AF118" s="201"/>
      <c r="AG118" s="201"/>
      <c r="AH118" s="202"/>
      <c r="AI118" s="203"/>
    </row>
    <row r="119" spans="1:35" ht="33" customHeight="1">
      <c r="A119" s="18"/>
      <c r="B119" s="28" t="s">
        <v>158</v>
      </c>
      <c r="C119" s="71"/>
      <c r="D119" s="192" t="s">
        <v>200</v>
      </c>
      <c r="E119" s="204"/>
      <c r="F119" s="204"/>
      <c r="G119" s="204"/>
      <c r="H119" s="204"/>
      <c r="I119" s="204"/>
      <c r="J119" s="204"/>
      <c r="K119" s="204"/>
      <c r="L119" s="204"/>
      <c r="M119" s="205"/>
      <c r="N119" s="206"/>
      <c r="O119" s="207"/>
      <c r="P119" s="194"/>
      <c r="Q119" s="208"/>
      <c r="R119" s="209"/>
      <c r="S119" s="209"/>
      <c r="T119" s="208"/>
      <c r="U119" s="208"/>
      <c r="V119" s="210"/>
      <c r="W119" s="210"/>
      <c r="X119" s="208"/>
      <c r="Y119" s="211"/>
      <c r="Z119" s="72"/>
      <c r="AA119" s="210"/>
      <c r="AB119" s="212"/>
      <c r="AC119" s="209"/>
      <c r="AD119" s="91">
        <f>AE119</f>
        <v>4500000</v>
      </c>
      <c r="AE119" s="184">
        <f>AE120</f>
        <v>4500000</v>
      </c>
      <c r="AF119" s="63"/>
      <c r="AG119" s="63"/>
      <c r="AH119" s="213">
        <f>AH120</f>
        <v>0</v>
      </c>
      <c r="AI119" s="89">
        <f>AH119/AD119*100</f>
        <v>0</v>
      </c>
    </row>
    <row r="120" spans="1:35" ht="36.75" customHeight="1">
      <c r="A120" s="18"/>
      <c r="B120" s="20" t="s">
        <v>201</v>
      </c>
      <c r="C120" s="30"/>
      <c r="D120" s="129" t="s">
        <v>202</v>
      </c>
      <c r="E120" s="122"/>
      <c r="F120" s="122"/>
      <c r="G120" s="122"/>
      <c r="H120" s="122"/>
      <c r="I120" s="122"/>
      <c r="J120" s="122"/>
      <c r="K120" s="122"/>
      <c r="L120" s="122"/>
      <c r="M120" s="131"/>
      <c r="N120" s="145"/>
      <c r="O120" s="127"/>
      <c r="P120" s="124"/>
      <c r="Q120" s="109"/>
      <c r="R120" s="84"/>
      <c r="S120" s="84"/>
      <c r="T120" s="109"/>
      <c r="U120" s="109"/>
      <c r="V120" s="113"/>
      <c r="W120" s="113"/>
      <c r="X120" s="109"/>
      <c r="Y120" s="128"/>
      <c r="Z120" s="31"/>
      <c r="AA120" s="113"/>
      <c r="AB120" s="114"/>
      <c r="AC120" s="84"/>
      <c r="AD120" s="140">
        <f>AE120</f>
        <v>4500000</v>
      </c>
      <c r="AE120" s="31">
        <v>4500000</v>
      </c>
      <c r="AF120" s="39"/>
      <c r="AG120" s="39"/>
      <c r="AH120" s="214">
        <v>0</v>
      </c>
      <c r="AI120" s="111">
        <f>AH120/AD120*100</f>
        <v>0</v>
      </c>
    </row>
    <row r="121" spans="1:35" ht="36.75" customHeight="1">
      <c r="A121" s="18"/>
      <c r="B121" s="20" t="s">
        <v>242</v>
      </c>
      <c r="C121" s="30"/>
      <c r="D121" s="223" t="s">
        <v>241</v>
      </c>
      <c r="E121" s="224"/>
      <c r="F121" s="224"/>
      <c r="G121" s="224"/>
      <c r="H121" s="224"/>
      <c r="I121" s="224"/>
      <c r="J121" s="224"/>
      <c r="K121" s="224"/>
      <c r="L121" s="224"/>
      <c r="M121" s="225"/>
      <c r="N121" s="226"/>
      <c r="O121" s="227"/>
      <c r="P121" s="228"/>
      <c r="Q121" s="229"/>
      <c r="R121" s="230"/>
      <c r="S121" s="230"/>
      <c r="T121" s="229"/>
      <c r="U121" s="229"/>
      <c r="V121" s="231"/>
      <c r="W121" s="231"/>
      <c r="X121" s="229"/>
      <c r="Y121" s="232"/>
      <c r="Z121" s="233"/>
      <c r="AA121" s="231"/>
      <c r="AB121" s="234"/>
      <c r="AC121" s="230"/>
      <c r="AD121" s="235">
        <f>AE121</f>
        <v>307976.51</v>
      </c>
      <c r="AE121" s="236">
        <v>307976.51</v>
      </c>
      <c r="AF121" s="237"/>
      <c r="AG121" s="237"/>
      <c r="AH121" s="238">
        <f>AH122</f>
        <v>307976.51</v>
      </c>
      <c r="AI121" s="239">
        <f>AH121/AD121*100</f>
        <v>100</v>
      </c>
    </row>
    <row r="122" spans="1:35" ht="27.75" customHeight="1">
      <c r="A122" s="18"/>
      <c r="B122" s="20" t="s">
        <v>243</v>
      </c>
      <c r="C122" s="30"/>
      <c r="D122" s="129" t="s">
        <v>244</v>
      </c>
      <c r="E122" s="122"/>
      <c r="F122" s="122"/>
      <c r="G122" s="122"/>
      <c r="H122" s="122"/>
      <c r="I122" s="122"/>
      <c r="J122" s="122"/>
      <c r="K122" s="122"/>
      <c r="L122" s="122"/>
      <c r="M122" s="131"/>
      <c r="N122" s="145"/>
      <c r="O122" s="127"/>
      <c r="P122" s="124"/>
      <c r="Q122" s="109"/>
      <c r="R122" s="84"/>
      <c r="S122" s="84"/>
      <c r="T122" s="109"/>
      <c r="U122" s="109"/>
      <c r="V122" s="113"/>
      <c r="W122" s="113"/>
      <c r="X122" s="109"/>
      <c r="Y122" s="128"/>
      <c r="Z122" s="31"/>
      <c r="AA122" s="113"/>
      <c r="AB122" s="114"/>
      <c r="AC122" s="84"/>
      <c r="AD122" s="140">
        <f>AE122</f>
        <v>307976.51</v>
      </c>
      <c r="AE122" s="222">
        <v>307976.51</v>
      </c>
      <c r="AF122" s="201"/>
      <c r="AG122" s="201"/>
      <c r="AH122" s="214">
        <v>307976.51</v>
      </c>
      <c r="AI122" s="240">
        <f>AH122/AD122*100</f>
        <v>100</v>
      </c>
    </row>
    <row r="123" spans="1:35" ht="18" customHeight="1">
      <c r="A123" s="32"/>
      <c r="B123" s="32"/>
      <c r="C123" s="33"/>
      <c r="D123" s="215" t="s">
        <v>101</v>
      </c>
      <c r="E123" s="216"/>
      <c r="F123" s="216"/>
      <c r="G123" s="216"/>
      <c r="H123" s="216"/>
      <c r="I123" s="217"/>
      <c r="J123" s="217"/>
      <c r="K123" s="217"/>
      <c r="L123" s="217"/>
      <c r="M123" s="150" t="e">
        <f>M112+M52</f>
        <v>#REF!</v>
      </c>
      <c r="N123" s="150" t="e">
        <f>N112+N52</f>
        <v>#VALUE!</v>
      </c>
      <c r="O123" s="150" t="e">
        <f>O112+O52</f>
        <v>#REF!</v>
      </c>
      <c r="P123" s="149" t="e">
        <f>P112+P52</f>
        <v>#REF!</v>
      </c>
      <c r="Q123" s="150"/>
      <c r="R123" s="150"/>
      <c r="S123" s="150"/>
      <c r="T123" s="150"/>
      <c r="U123" s="150"/>
      <c r="V123" s="150"/>
      <c r="W123" s="110"/>
      <c r="X123" s="150"/>
      <c r="Y123" s="150"/>
      <c r="Z123" s="149" t="e">
        <f>Z112+Z52</f>
        <v>#REF!</v>
      </c>
      <c r="AA123" s="150" t="e">
        <f>AA112+AA52</f>
        <v>#REF!</v>
      </c>
      <c r="AB123" s="150" t="e">
        <f>AB112+AB52</f>
        <v>#REF!</v>
      </c>
      <c r="AC123" s="150"/>
      <c r="AD123" s="115">
        <f>AD119+AD114+AD112+AD52+AD50+AD8+AD121</f>
        <v>91319629.098199</v>
      </c>
      <c r="AE123" s="115">
        <f>AE119+AE114+AE112+AE52+AE50+AE8+AE121</f>
        <v>60840345.418198995</v>
      </c>
      <c r="AF123" s="115">
        <f>AF119+AF114+AF112+AF52+AF50+AF8</f>
        <v>30479283.68</v>
      </c>
      <c r="AG123" s="115">
        <f>AG119+AG114+AG112+AG52+AG50+AG8</f>
        <v>30479283.68</v>
      </c>
      <c r="AH123" s="115">
        <f>AH119+AH114+AH112+AH52+AH50+AH8+AH121</f>
        <v>68546033.17</v>
      </c>
      <c r="AI123" s="197">
        <f>AH123/AD123*100</f>
        <v>75.06166401123924</v>
      </c>
    </row>
    <row r="124" spans="16:23" ht="12.75">
      <c r="P124" s="26"/>
      <c r="R124" s="40"/>
      <c r="S124" s="40"/>
      <c r="V124" s="25"/>
      <c r="W124" s="25"/>
    </row>
    <row r="125" spans="1:30" ht="12.75">
      <c r="A125" s="34"/>
      <c r="B125" s="36"/>
      <c r="C125" s="35"/>
      <c r="P125" s="26"/>
      <c r="R125" s="5"/>
      <c r="S125" s="5"/>
      <c r="T125" s="5"/>
      <c r="U125" s="5"/>
      <c r="V125" s="5"/>
      <c r="W125" s="5"/>
      <c r="X125" s="5"/>
      <c r="AD125" s="68"/>
    </row>
    <row r="126" spans="4:33" s="74" customFormat="1" ht="18.75"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6"/>
      <c r="Q126" s="75"/>
      <c r="R126" s="77"/>
      <c r="S126" s="77"/>
      <c r="T126" s="77"/>
      <c r="U126" s="77"/>
      <c r="V126" s="77"/>
      <c r="W126" s="77"/>
      <c r="X126" s="77"/>
      <c r="Y126" s="75"/>
      <c r="Z126" s="75"/>
      <c r="AA126" s="75"/>
      <c r="AB126" s="75"/>
      <c r="AC126" s="75"/>
      <c r="AD126" s="75"/>
      <c r="AG126" s="78"/>
    </row>
    <row r="127" spans="16:24" ht="12.75">
      <c r="P127" s="26"/>
      <c r="R127" s="5"/>
      <c r="S127" s="5"/>
      <c r="T127" s="5"/>
      <c r="U127" s="5"/>
      <c r="V127" s="5"/>
      <c r="W127" s="5"/>
      <c r="X127" s="5"/>
    </row>
    <row r="128" spans="16:24" ht="12.75">
      <c r="P128" s="26"/>
      <c r="R128" s="5"/>
      <c r="S128" s="5"/>
      <c r="T128" s="5"/>
      <c r="U128" s="5"/>
      <c r="V128" s="5"/>
      <c r="W128" s="5"/>
      <c r="X128" s="5"/>
    </row>
    <row r="129" ht="12.75">
      <c r="AE129" s="26"/>
    </row>
    <row r="219" ht="12.75"/>
    <row r="220" ht="12.75"/>
    <row r="221" ht="12.75"/>
    <row r="222" ht="12.75"/>
    <row r="223" ht="12.75"/>
  </sheetData>
  <sheetProtection/>
  <mergeCells count="35">
    <mergeCell ref="AB112:AB113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8:AC100"/>
    <mergeCell ref="X5:X6"/>
    <mergeCell ref="Y5:Y6"/>
    <mergeCell ref="Z5:Z6"/>
    <mergeCell ref="AC70:AC72"/>
    <mergeCell ref="AC73:AC77"/>
    <mergeCell ref="C92:C93"/>
    <mergeCell ref="D6:D7"/>
    <mergeCell ref="C66:C68"/>
    <mergeCell ref="AC5:AC6"/>
    <mergeCell ref="AA5:AA6"/>
    <mergeCell ref="AB5:AB6"/>
    <mergeCell ref="M5:M6"/>
    <mergeCell ref="W56:W57"/>
    <mergeCell ref="AC56:AC57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2017-12-04T11:16:18Z</cp:lastPrinted>
  <dcterms:created xsi:type="dcterms:W3CDTF">2014-01-17T10:52:16Z</dcterms:created>
  <dcterms:modified xsi:type="dcterms:W3CDTF">2017-12-13T10:10:01Z</dcterms:modified>
  <cp:category/>
  <cp:version/>
  <cp:contentType/>
  <cp:contentStatus/>
</cp:coreProperties>
</file>